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y.kurosawa\Downloads\"/>
    </mc:Choice>
  </mc:AlternateContent>
  <xr:revisionPtr revIDLastSave="0" documentId="13_ncr:1_{619572C8-2CAB-4A7D-843E-E1A908C2FBC4}" xr6:coauthVersionLast="47" xr6:coauthVersionMax="47" xr10:uidLastSave="{00000000-0000-0000-0000-000000000000}"/>
  <workbookProtection workbookAlgorithmName="SHA-512" workbookHashValue="mamJUm9Sf3TuLbD0Fg72ai5BKKKkdwta20wBKv6xEmkuZxEB4GMyEFSdCWRvIdtrZQtO2LNCujIlzBewUm45Pw==" workbookSaltValue="CHKmpI3CoSdqTLPQMoYYgQ=="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50" r:id="rId6"/>
    <sheet name="その6（非公表）" sheetId="36" r:id="rId7"/>
    <sheet name="基準排出量算定シート" sheetId="51" r:id="rId8"/>
    <sheet name="点検表（商業版）" sheetId="44" r:id="rId9"/>
    <sheet name="評価シート" sheetId="41" r:id="rId10"/>
    <sheet name="ver" sheetId="42" state="hidden" r:id="rId11"/>
  </sheets>
  <definedNames>
    <definedName name="_xlnm._FilterDatabase" localSheetId="8" hidden="1">'点検表（商業版）'!#REF!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基準排出量算定シート!$B$3:$U$59</definedName>
    <definedName name="_xlnm.Print_Area" localSheetId="0">提出書!$C$3:$AK$48</definedName>
    <definedName name="_xlnm.Print_Area" localSheetId="8">'点検表（商業版）'!$B$2:$AI$128</definedName>
    <definedName name="_xlnm.Print_Area" localSheetId="9">評価シート!$A$1:$AJ$103</definedName>
    <definedName name="_xlnm.Print_Titles" localSheetId="8">'点検表（商業版）'!$13:$14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9" i="37" l="1"/>
  <c r="AW29" i="37"/>
  <c r="AX29" i="37" s="1"/>
  <c r="M33" i="51" l="1"/>
  <c r="AN105" i="41" l="1"/>
  <c r="AN103" i="41"/>
  <c r="AX37" i="23" l="1"/>
  <c r="AP38" i="23" s="1"/>
  <c r="AW37" i="23"/>
  <c r="AV37" i="23"/>
  <c r="AU37" i="23"/>
  <c r="AT37" i="23"/>
  <c r="AX33" i="23"/>
  <c r="AP34" i="23" s="1"/>
  <c r="AW33" i="23"/>
  <c r="AV33" i="23"/>
  <c r="AU33" i="23"/>
  <c r="AT33" i="23"/>
  <c r="AX12" i="23"/>
  <c r="AW12" i="23"/>
  <c r="AV12" i="23"/>
  <c r="AU12" i="23"/>
  <c r="AT12" i="23"/>
  <c r="AV8" i="23"/>
  <c r="AU8" i="23"/>
  <c r="AT8" i="23"/>
  <c r="W8" i="23"/>
  <c r="M8" i="23"/>
  <c r="C8" i="23"/>
  <c r="P58" i="50"/>
  <c r="P57" i="50"/>
  <c r="M56" i="50"/>
  <c r="X24" i="36" s="1"/>
  <c r="P55" i="50"/>
  <c r="P54" i="50"/>
  <c r="N54" i="50"/>
  <c r="N53" i="50"/>
  <c r="P52" i="50"/>
  <c r="P50" i="50"/>
  <c r="N50" i="50"/>
  <c r="N56" i="50" s="1"/>
  <c r="P47" i="50"/>
  <c r="N47" i="50"/>
  <c r="N46" i="50"/>
  <c r="P45" i="50"/>
  <c r="P43" i="50"/>
  <c r="N43" i="50"/>
  <c r="P42" i="50"/>
  <c r="N42" i="50"/>
  <c r="P41" i="50"/>
  <c r="N41" i="50"/>
  <c r="P40" i="50"/>
  <c r="N40" i="50"/>
  <c r="P38" i="50"/>
  <c r="P37" i="50"/>
  <c r="AP21" i="23" l="1"/>
  <c r="P59" i="50"/>
  <c r="P49" i="50"/>
  <c r="N49" i="50"/>
  <c r="N60" i="50" s="1"/>
  <c r="P56" i="50"/>
  <c r="M62" i="50"/>
  <c r="O53" i="51" l="1"/>
  <c r="M53" i="51"/>
  <c r="K53" i="51"/>
  <c r="O52" i="51"/>
  <c r="M52" i="51"/>
  <c r="K52" i="51"/>
  <c r="M50" i="51"/>
  <c r="K50" i="51"/>
  <c r="M49" i="51"/>
  <c r="K49" i="51"/>
  <c r="M48" i="51"/>
  <c r="K48" i="51"/>
  <c r="M47" i="51"/>
  <c r="K47" i="51"/>
  <c r="M46" i="51"/>
  <c r="K46" i="51"/>
  <c r="O44" i="51"/>
  <c r="N44" i="51"/>
  <c r="M44" i="51"/>
  <c r="L44" i="51"/>
  <c r="K44" i="51"/>
  <c r="F44" i="51"/>
  <c r="M43" i="51"/>
  <c r="K43" i="51"/>
  <c r="M42" i="51"/>
  <c r="K42" i="51"/>
  <c r="M41" i="51"/>
  <c r="K41" i="51"/>
  <c r="M40" i="51"/>
  <c r="K40" i="51"/>
  <c r="M39" i="51"/>
  <c r="K39" i="51"/>
  <c r="M38" i="51"/>
  <c r="K38" i="51"/>
  <c r="M37" i="51"/>
  <c r="K37" i="51"/>
  <c r="M36" i="51"/>
  <c r="K36" i="51"/>
  <c r="O35" i="51"/>
  <c r="N35" i="51"/>
  <c r="L35" i="51"/>
  <c r="K35" i="51"/>
  <c r="I35" i="51"/>
  <c r="O34" i="51"/>
  <c r="N34" i="51"/>
  <c r="M34" i="51"/>
  <c r="L34" i="51"/>
  <c r="K34" i="51"/>
  <c r="I34" i="51"/>
  <c r="M35" i="51"/>
  <c r="M56" i="51" l="1"/>
  <c r="P50" i="51"/>
  <c r="P48" i="51"/>
  <c r="P46" i="51"/>
  <c r="P51" i="51" s="1"/>
  <c r="P43" i="51"/>
  <c r="P41" i="51"/>
  <c r="P39" i="51"/>
  <c r="P38" i="51"/>
  <c r="P37" i="51"/>
  <c r="P36" i="51"/>
  <c r="AK36" i="23"/>
  <c r="AE36" i="23"/>
  <c r="Y36" i="23"/>
  <c r="S36" i="23"/>
  <c r="M36" i="23"/>
  <c r="AX38" i="37"/>
  <c r="AX36" i="37"/>
  <c r="BA34" i="37"/>
  <c r="AZ34" i="37"/>
  <c r="AX34" i="37"/>
  <c r="AW34" i="37"/>
  <c r="BA33" i="37"/>
  <c r="AZ33" i="37"/>
  <c r="AX33" i="37"/>
  <c r="AW33" i="37"/>
  <c r="BA32" i="37"/>
  <c r="AZ32" i="37"/>
  <c r="AX32" i="37"/>
  <c r="AW32" i="37"/>
  <c r="Y35" i="35"/>
  <c r="P44" i="51" l="1"/>
  <c r="P34" i="51"/>
  <c r="P53" i="51"/>
  <c r="P52" i="51"/>
  <c r="P35" i="51"/>
  <c r="N33" i="51"/>
  <c r="P33" i="51" s="1"/>
  <c r="K33" i="51"/>
  <c r="M32" i="51"/>
  <c r="N32" i="51" s="1"/>
  <c r="P32" i="51" s="1"/>
  <c r="K32" i="51"/>
  <c r="M31" i="51"/>
  <c r="N31" i="51" s="1"/>
  <c r="P31" i="51" s="1"/>
  <c r="K31" i="51"/>
  <c r="M30" i="51"/>
  <c r="N30" i="51" s="1"/>
  <c r="P30" i="51" s="1"/>
  <c r="K30" i="51"/>
  <c r="M29" i="51"/>
  <c r="N29" i="51" s="1"/>
  <c r="P29" i="51" s="1"/>
  <c r="K29" i="51"/>
  <c r="M28" i="51"/>
  <c r="N28" i="51" s="1"/>
  <c r="P28" i="51" s="1"/>
  <c r="K28" i="51"/>
  <c r="M27" i="51"/>
  <c r="N27" i="51" s="1"/>
  <c r="P27" i="51" s="1"/>
  <c r="K27" i="51"/>
  <c r="M26" i="51"/>
  <c r="N26" i="51" s="1"/>
  <c r="P26" i="51" s="1"/>
  <c r="K26" i="51"/>
  <c r="K25" i="51"/>
  <c r="K24" i="51"/>
  <c r="M23" i="51"/>
  <c r="N23" i="51" s="1"/>
  <c r="P23" i="51" s="1"/>
  <c r="K23" i="51"/>
  <c r="M22" i="51"/>
  <c r="N22" i="51" s="1"/>
  <c r="P22" i="51" s="1"/>
  <c r="K22" i="51"/>
  <c r="M21" i="51"/>
  <c r="N21" i="51" s="1"/>
  <c r="P21" i="51" s="1"/>
  <c r="K21" i="51"/>
  <c r="M20" i="51"/>
  <c r="N20" i="51" s="1"/>
  <c r="P20" i="51" s="1"/>
  <c r="K20" i="51"/>
  <c r="M19" i="51"/>
  <c r="K19" i="51"/>
  <c r="M18" i="51"/>
  <c r="N18" i="51" s="1"/>
  <c r="P18" i="51" s="1"/>
  <c r="K18" i="51"/>
  <c r="M17" i="51"/>
  <c r="N17" i="51" s="1"/>
  <c r="P17" i="51" s="1"/>
  <c r="K17" i="51"/>
  <c r="M16" i="51"/>
  <c r="N16" i="51" s="1"/>
  <c r="P16" i="51" s="1"/>
  <c r="K16" i="51"/>
  <c r="M15" i="51"/>
  <c r="N15" i="51" s="1"/>
  <c r="P15" i="51" s="1"/>
  <c r="K15" i="51"/>
  <c r="M14" i="51"/>
  <c r="N14" i="51" s="1"/>
  <c r="P14" i="51" s="1"/>
  <c r="K14" i="51"/>
  <c r="M13" i="51"/>
  <c r="N13" i="51" s="1"/>
  <c r="P13" i="51" s="1"/>
  <c r="K13" i="51"/>
  <c r="M12" i="51"/>
  <c r="N12" i="51" s="1"/>
  <c r="P12" i="51" s="1"/>
  <c r="K12" i="51"/>
  <c r="M11" i="51"/>
  <c r="N11" i="51" s="1"/>
  <c r="P11" i="51" s="1"/>
  <c r="K11" i="51"/>
  <c r="M10" i="51"/>
  <c r="N10" i="51" s="1"/>
  <c r="P10" i="51" s="1"/>
  <c r="K10" i="51"/>
  <c r="M9" i="51"/>
  <c r="N9" i="51" s="1"/>
  <c r="P9" i="51" s="1"/>
  <c r="K9" i="51"/>
  <c r="M8" i="51"/>
  <c r="N8" i="51" s="1"/>
  <c r="K8" i="51"/>
  <c r="P36" i="50"/>
  <c r="N36" i="50"/>
  <c r="P35" i="50"/>
  <c r="O35" i="50"/>
  <c r="N35" i="50"/>
  <c r="P34" i="50"/>
  <c r="O34" i="50"/>
  <c r="N34" i="50"/>
  <c r="P33" i="50"/>
  <c r="O33" i="50"/>
  <c r="N33" i="50"/>
  <c r="P32" i="50"/>
  <c r="O32" i="50"/>
  <c r="N32" i="50"/>
  <c r="P31" i="50"/>
  <c r="O31" i="50"/>
  <c r="N31" i="50"/>
  <c r="P30" i="50"/>
  <c r="O30" i="50"/>
  <c r="N30" i="50"/>
  <c r="P29" i="50"/>
  <c r="O29" i="50"/>
  <c r="N29" i="50"/>
  <c r="P28" i="50"/>
  <c r="O28" i="50"/>
  <c r="N28" i="50"/>
  <c r="P27" i="50"/>
  <c r="O27" i="50"/>
  <c r="N27" i="50"/>
  <c r="P26" i="50"/>
  <c r="O26" i="50"/>
  <c r="N26" i="50"/>
  <c r="P25" i="50"/>
  <c r="O25" i="50"/>
  <c r="N25" i="50"/>
  <c r="P24" i="50"/>
  <c r="O24" i="50"/>
  <c r="N24" i="50"/>
  <c r="P23" i="50"/>
  <c r="O23" i="50"/>
  <c r="N23" i="50"/>
  <c r="P22" i="50"/>
  <c r="O22" i="50"/>
  <c r="N22" i="50"/>
  <c r="P21" i="50"/>
  <c r="O21" i="50"/>
  <c r="N21" i="50"/>
  <c r="P20" i="50"/>
  <c r="O20" i="50"/>
  <c r="N20" i="50"/>
  <c r="P19" i="50"/>
  <c r="O19" i="50"/>
  <c r="N19" i="50"/>
  <c r="P18" i="50"/>
  <c r="O18" i="50"/>
  <c r="N18" i="50"/>
  <c r="P17" i="50"/>
  <c r="O17" i="50"/>
  <c r="N17" i="50"/>
  <c r="P16" i="50"/>
  <c r="O16" i="50"/>
  <c r="N16" i="50"/>
  <c r="P15" i="50"/>
  <c r="O15" i="50"/>
  <c r="N15" i="50"/>
  <c r="P14" i="50"/>
  <c r="O14" i="50"/>
  <c r="N14" i="50"/>
  <c r="P13" i="50"/>
  <c r="O13" i="50"/>
  <c r="N13" i="50"/>
  <c r="P12" i="50"/>
  <c r="O12" i="50"/>
  <c r="N12" i="50"/>
  <c r="P11" i="50"/>
  <c r="O11" i="50"/>
  <c r="N11" i="50"/>
  <c r="P10" i="50"/>
  <c r="O10" i="50"/>
  <c r="N10" i="50"/>
  <c r="P9" i="50"/>
  <c r="O9" i="50"/>
  <c r="N9" i="50"/>
  <c r="P8" i="50"/>
  <c r="O8" i="50"/>
  <c r="N8" i="50"/>
  <c r="N19" i="51" l="1"/>
  <c r="P19" i="51" s="1"/>
  <c r="P54" i="51"/>
  <c r="M25" i="51"/>
  <c r="N39" i="50"/>
  <c r="M24" i="51"/>
  <c r="N24" i="51" s="1"/>
  <c r="P39" i="50"/>
  <c r="P60" i="50" s="1"/>
  <c r="P62" i="50" s="1"/>
  <c r="J29" i="41" s="1"/>
  <c r="AN37" i="35"/>
  <c r="P8" i="51"/>
  <c r="N25" i="51"/>
  <c r="P25" i="51" s="1"/>
  <c r="P24" i="51" l="1"/>
  <c r="P45" i="51" s="1"/>
  <c r="P55" i="51" s="1"/>
  <c r="C8" i="41" l="1"/>
  <c r="P20" i="37"/>
  <c r="C20" i="37"/>
  <c r="P19" i="37"/>
  <c r="C19" i="37"/>
  <c r="P18" i="37"/>
  <c r="C18" i="37"/>
  <c r="P17" i="37"/>
  <c r="C17" i="37"/>
  <c r="AN21" i="37"/>
  <c r="K9" i="44"/>
  <c r="K6" i="44"/>
  <c r="R5" i="44"/>
  <c r="O5" i="44"/>
  <c r="K5" i="44"/>
  <c r="BL130" i="44"/>
  <c r="AG20" i="37" s="1"/>
  <c r="BK130" i="44"/>
  <c r="AD20" i="37" s="1"/>
  <c r="BJ130" i="44"/>
  <c r="AA20" i="37" s="1"/>
  <c r="BI130" i="44"/>
  <c r="X20" i="37" s="1"/>
  <c r="BG130" i="44"/>
  <c r="BF130" i="44"/>
  <c r="L20" i="37" s="1"/>
  <c r="BD130" i="44"/>
  <c r="BE130" i="44" s="1"/>
  <c r="H20" i="37" s="1"/>
  <c r="BQ127" i="44"/>
  <c r="BP127" i="44"/>
  <c r="BO127" i="44"/>
  <c r="BN127" i="44"/>
  <c r="AM127" i="44"/>
  <c r="AP127" i="44" s="1"/>
  <c r="BC126" i="44"/>
  <c r="AM126" i="44"/>
  <c r="BC125" i="44"/>
  <c r="BC124" i="44"/>
  <c r="BC123" i="44"/>
  <c r="AM123" i="44"/>
  <c r="BC122" i="44"/>
  <c r="BC121" i="44"/>
  <c r="BC120" i="44"/>
  <c r="BB120" i="44"/>
  <c r="AM120" i="44"/>
  <c r="AP120" i="44" s="1"/>
  <c r="BQ118" i="44"/>
  <c r="BP118" i="44"/>
  <c r="BO118" i="44"/>
  <c r="BN118" i="44"/>
  <c r="AM118" i="44"/>
  <c r="AP118" i="44" s="1"/>
  <c r="BQ116" i="44"/>
  <c r="BP116" i="44"/>
  <c r="BO116" i="44"/>
  <c r="BN116" i="44"/>
  <c r="AM116" i="44"/>
  <c r="AP116" i="44" s="1"/>
  <c r="BQ114" i="44"/>
  <c r="BP114" i="44"/>
  <c r="BO114" i="44"/>
  <c r="BN114" i="44"/>
  <c r="AV114" i="44"/>
  <c r="AM114" i="44"/>
  <c r="AP114" i="44" s="1"/>
  <c r="BQ111" i="44"/>
  <c r="BP111" i="44"/>
  <c r="BO111" i="44"/>
  <c r="BN111" i="44"/>
  <c r="AM111" i="44"/>
  <c r="AP111" i="44" s="1"/>
  <c r="BC109" i="44"/>
  <c r="BQ107" i="44"/>
  <c r="BP107" i="44"/>
  <c r="BO107" i="44"/>
  <c r="BN107" i="44"/>
  <c r="AX107" i="44"/>
  <c r="AW107" i="44"/>
  <c r="AV107" i="44"/>
  <c r="AM107" i="44"/>
  <c r="AP107" i="44" s="1"/>
  <c r="BQ104" i="44"/>
  <c r="BP104" i="44"/>
  <c r="BO104" i="44"/>
  <c r="BN104" i="44"/>
  <c r="AX104" i="44"/>
  <c r="AW104" i="44"/>
  <c r="AV104" i="44"/>
  <c r="AM104" i="44"/>
  <c r="AP104" i="44" s="1"/>
  <c r="BL102" i="44"/>
  <c r="BK102" i="44"/>
  <c r="BJ102" i="44"/>
  <c r="BI102" i="44"/>
  <c r="BG102" i="44"/>
  <c r="BF102" i="44"/>
  <c r="BD102" i="44"/>
  <c r="BE102" i="44" s="1"/>
  <c r="BQ101" i="44"/>
  <c r="BP101" i="44"/>
  <c r="BO101" i="44"/>
  <c r="BN101" i="44"/>
  <c r="AX101" i="44"/>
  <c r="AW101" i="44"/>
  <c r="AV101" i="44"/>
  <c r="AM101" i="44"/>
  <c r="AP101" i="44" s="1"/>
  <c r="BQ97" i="44"/>
  <c r="BP97" i="44"/>
  <c r="BO97" i="44"/>
  <c r="BN97" i="44"/>
  <c r="AM97" i="44"/>
  <c r="AP97" i="44" s="1"/>
  <c r="BQ94" i="44"/>
  <c r="BP94" i="44"/>
  <c r="BO94" i="44"/>
  <c r="BN94" i="44"/>
  <c r="AM94" i="44"/>
  <c r="AP94" i="44" s="1"/>
  <c r="BL91" i="44"/>
  <c r="BK91" i="44"/>
  <c r="BJ91" i="44"/>
  <c r="BI91" i="44"/>
  <c r="BG91" i="44"/>
  <c r="BF91" i="44"/>
  <c r="BD91" i="44"/>
  <c r="BE91" i="44" s="1"/>
  <c r="BQ90" i="44"/>
  <c r="BP90" i="44"/>
  <c r="BO90" i="44"/>
  <c r="BN90" i="44"/>
  <c r="AM90" i="44"/>
  <c r="AP90" i="44" s="1"/>
  <c r="BQ87" i="44"/>
  <c r="BP87" i="44"/>
  <c r="BO87" i="44"/>
  <c r="BN87" i="44"/>
  <c r="AM87" i="44"/>
  <c r="AP87" i="44" s="1"/>
  <c r="BQ84" i="44"/>
  <c r="BP84" i="44"/>
  <c r="BO84" i="44"/>
  <c r="BN84" i="44"/>
  <c r="AM84" i="44"/>
  <c r="AP84" i="44" s="1"/>
  <c r="BQ81" i="44"/>
  <c r="BP81" i="44"/>
  <c r="BO81" i="44"/>
  <c r="BN81" i="44"/>
  <c r="AM81" i="44"/>
  <c r="AP81" i="44" s="1"/>
  <c r="BQ78" i="44"/>
  <c r="BP78" i="44"/>
  <c r="BO78" i="44"/>
  <c r="BN78" i="44"/>
  <c r="AM78" i="44"/>
  <c r="AP78" i="44" s="1"/>
  <c r="BQ75" i="44"/>
  <c r="BP75" i="44"/>
  <c r="BO75" i="44"/>
  <c r="BN75" i="44"/>
  <c r="AM75" i="44"/>
  <c r="AP75" i="44" s="1"/>
  <c r="BQ72" i="44"/>
  <c r="BP72" i="44"/>
  <c r="BO72" i="44"/>
  <c r="BN72" i="44"/>
  <c r="AM72" i="44"/>
  <c r="AP72" i="44" s="1"/>
  <c r="BQ69" i="44"/>
  <c r="BP69" i="44"/>
  <c r="BO69" i="44"/>
  <c r="BN69" i="44"/>
  <c r="AM69" i="44"/>
  <c r="AP69" i="44" s="1"/>
  <c r="BQ66" i="44"/>
  <c r="BP66" i="44"/>
  <c r="BO66" i="44"/>
  <c r="BN66" i="44"/>
  <c r="AM66" i="44"/>
  <c r="AP66" i="44" s="1"/>
  <c r="BL63" i="44"/>
  <c r="AG18" i="37" s="1"/>
  <c r="BK63" i="44"/>
  <c r="AD18" i="37" s="1"/>
  <c r="BJ63" i="44"/>
  <c r="AA18" i="37" s="1"/>
  <c r="BI63" i="44"/>
  <c r="X18" i="37" s="1"/>
  <c r="BG63" i="44"/>
  <c r="BH63" i="44" s="1"/>
  <c r="T18" i="37" s="1"/>
  <c r="BF63" i="44"/>
  <c r="L18" i="37" s="1"/>
  <c r="BD63" i="44"/>
  <c r="AJ18" i="37" s="1"/>
  <c r="BQ62" i="44"/>
  <c r="BP62" i="44"/>
  <c r="BO62" i="44"/>
  <c r="BN62" i="44"/>
  <c r="AM62" i="44"/>
  <c r="AP62" i="44" s="1"/>
  <c r="BQ59" i="44"/>
  <c r="BP59" i="44"/>
  <c r="BO59" i="44"/>
  <c r="BN59" i="44"/>
  <c r="AM59" i="44"/>
  <c r="AP59" i="44" s="1"/>
  <c r="BQ56" i="44"/>
  <c r="BP56" i="44"/>
  <c r="BO56" i="44"/>
  <c r="BN56" i="44"/>
  <c r="AM56" i="44"/>
  <c r="AP56" i="44" s="1"/>
  <c r="BL53" i="44"/>
  <c r="AG17" i="37" s="1"/>
  <c r="BK53" i="44"/>
  <c r="AD17" i="37" s="1"/>
  <c r="BJ53" i="44"/>
  <c r="AA17" i="37" s="1"/>
  <c r="BI53" i="44"/>
  <c r="X17" i="37" s="1"/>
  <c r="BG53" i="44"/>
  <c r="BF53" i="44"/>
  <c r="L17" i="37" s="1"/>
  <c r="BD53" i="44"/>
  <c r="BE53" i="44" s="1"/>
  <c r="H17" i="37" s="1"/>
  <c r="BQ52" i="44"/>
  <c r="BP52" i="44"/>
  <c r="BO52" i="44"/>
  <c r="BN52" i="44"/>
  <c r="AM52" i="44"/>
  <c r="AP52" i="44" s="1"/>
  <c r="BQ49" i="44"/>
  <c r="BP49" i="44"/>
  <c r="BO49" i="44"/>
  <c r="BN49" i="44"/>
  <c r="AM49" i="44"/>
  <c r="AP49" i="44" s="1"/>
  <c r="BQ46" i="44"/>
  <c r="BP46" i="44"/>
  <c r="BO46" i="44"/>
  <c r="BN46" i="44"/>
  <c r="AM46" i="44"/>
  <c r="AP46" i="44" s="1"/>
  <c r="BQ43" i="44"/>
  <c r="BP43" i="44"/>
  <c r="BO43" i="44"/>
  <c r="BN43" i="44"/>
  <c r="AX43" i="44"/>
  <c r="AW43" i="44"/>
  <c r="AV43" i="44"/>
  <c r="AM43" i="44"/>
  <c r="AP43" i="44" s="1"/>
  <c r="BQ40" i="44"/>
  <c r="BP40" i="44"/>
  <c r="BO40" i="44"/>
  <c r="BN40" i="44"/>
  <c r="AM40" i="44"/>
  <c r="AP40" i="44" s="1"/>
  <c r="BQ37" i="44"/>
  <c r="BP37" i="44"/>
  <c r="BO37" i="44"/>
  <c r="BN37" i="44"/>
  <c r="AM37" i="44"/>
  <c r="AP37" i="44" s="1"/>
  <c r="BQ34" i="44"/>
  <c r="BP34" i="44"/>
  <c r="BO34" i="44"/>
  <c r="BN34" i="44"/>
  <c r="AM34" i="44"/>
  <c r="AP34" i="44" s="1"/>
  <c r="BQ31" i="44"/>
  <c r="BP31" i="44"/>
  <c r="BO31" i="44"/>
  <c r="BN31" i="44"/>
  <c r="AM31" i="44"/>
  <c r="AP31" i="44" s="1"/>
  <c r="BQ28" i="44"/>
  <c r="BP28" i="44"/>
  <c r="BO28" i="44"/>
  <c r="BN28" i="44"/>
  <c r="AM28" i="44"/>
  <c r="AP28" i="44" s="1"/>
  <c r="BQ25" i="44"/>
  <c r="BP25" i="44"/>
  <c r="BO25" i="44"/>
  <c r="BN25" i="44"/>
  <c r="AM25" i="44"/>
  <c r="AP25" i="44" s="1"/>
  <c r="B25" i="44"/>
  <c r="B28" i="44" s="1"/>
  <c r="BQ22" i="44"/>
  <c r="BP22" i="44"/>
  <c r="BO22" i="44"/>
  <c r="BN22" i="44"/>
  <c r="AM22" i="44"/>
  <c r="AP22" i="44" s="1"/>
  <c r="BQ19" i="44"/>
  <c r="BP19" i="44"/>
  <c r="BO19" i="44"/>
  <c r="BN19" i="44"/>
  <c r="AV19" i="44"/>
  <c r="AM19" i="44"/>
  <c r="AP19" i="44" s="1"/>
  <c r="BQ16" i="44"/>
  <c r="BP16" i="44"/>
  <c r="BO16" i="44"/>
  <c r="BN16" i="44"/>
  <c r="AM16" i="44"/>
  <c r="AP16" i="44" s="1"/>
  <c r="BH91" i="44" l="1"/>
  <c r="BI109" i="44"/>
  <c r="X19" i="37" s="1"/>
  <c r="BH53" i="44"/>
  <c r="T17" i="37" s="1"/>
  <c r="AY120" i="44"/>
  <c r="BH130" i="44"/>
  <c r="T20" i="37" s="1"/>
  <c r="P21" i="37"/>
  <c r="BH102" i="44"/>
  <c r="BL109" i="44"/>
  <c r="AG19" i="37" s="1"/>
  <c r="AZ120" i="44"/>
  <c r="BE109" i="44"/>
  <c r="H19" i="37" s="1"/>
  <c r="BF109" i="44"/>
  <c r="L19" i="37" s="1"/>
  <c r="L21" i="37" s="1"/>
  <c r="BJ109" i="44"/>
  <c r="AA19" i="37" s="1"/>
  <c r="AA21" i="37" s="1"/>
  <c r="BK109" i="44"/>
  <c r="AD19" i="37" s="1"/>
  <c r="AD21" i="37" s="1"/>
  <c r="BH109" i="44"/>
  <c r="T19" i="37" s="1"/>
  <c r="T21" i="37" s="1"/>
  <c r="X21" i="37"/>
  <c r="AG21" i="37"/>
  <c r="AJ20" i="37"/>
  <c r="BE63" i="44"/>
  <c r="H18" i="37" s="1"/>
  <c r="AJ17" i="37"/>
  <c r="AP11" i="44"/>
  <c r="AQ59" i="44" s="1"/>
  <c r="AS59" i="44" s="1"/>
  <c r="AM11" i="44"/>
  <c r="AQ43" i="44" s="1"/>
  <c r="AS43" i="44" s="1"/>
  <c r="AS49" i="44"/>
  <c r="AS11" i="44"/>
  <c r="AQ75" i="44" s="1"/>
  <c r="AS75" i="44" s="1"/>
  <c r="AT11" i="44"/>
  <c r="AQ114" i="44" s="1"/>
  <c r="AS114" i="44" s="1"/>
  <c r="BD109" i="44"/>
  <c r="AJ19" i="37" s="1"/>
  <c r="AV120" i="44"/>
  <c r="BG109" i="44"/>
  <c r="AW120" i="44"/>
  <c r="B31" i="44"/>
  <c r="AX120" i="44"/>
  <c r="AQ111" i="44" l="1"/>
  <c r="AJ21" i="37"/>
  <c r="H21" i="37"/>
  <c r="AQ116" i="44"/>
  <c r="AS116" i="44" s="1"/>
  <c r="AQ127" i="44"/>
  <c r="AS127" i="44" s="1"/>
  <c r="AQ87" i="44"/>
  <c r="AS87" i="44" s="1"/>
  <c r="AQ97" i="44"/>
  <c r="AS97" i="44" s="1"/>
  <c r="AQ90" i="44"/>
  <c r="AS90" i="44" s="1"/>
  <c r="AQ72" i="44"/>
  <c r="AS72" i="44" s="1"/>
  <c r="AQ107" i="44"/>
  <c r="AS107" i="44" s="1"/>
  <c r="AQ78" i="44"/>
  <c r="AS78" i="44" s="1"/>
  <c r="AT75" i="44" s="1"/>
  <c r="AQ81" i="44"/>
  <c r="AS81" i="44" s="1"/>
  <c r="AQ104" i="44"/>
  <c r="AS104" i="44" s="1"/>
  <c r="AQ69" i="44"/>
  <c r="AS69" i="44" s="1"/>
  <c r="AQ101" i="44"/>
  <c r="AQ22" i="44"/>
  <c r="AS22" i="44" s="1"/>
  <c r="AQ46" i="44"/>
  <c r="AQ49" i="44"/>
  <c r="AQ126" i="44"/>
  <c r="AQ123" i="44"/>
  <c r="AQ118" i="44"/>
  <c r="AS118" i="44" s="1"/>
  <c r="AQ31" i="44"/>
  <c r="AQ34" i="44"/>
  <c r="AS34" i="44" s="1"/>
  <c r="AQ19" i="44"/>
  <c r="AS19" i="44" s="1"/>
  <c r="AQ40" i="44"/>
  <c r="AQ62" i="44"/>
  <c r="AS62" i="44" s="1"/>
  <c r="AQ25" i="44"/>
  <c r="AS25" i="44" s="1"/>
  <c r="AQ37" i="44"/>
  <c r="AS37" i="44" s="1"/>
  <c r="B34" i="44"/>
  <c r="AQ28" i="44"/>
  <c r="AS28" i="44" s="1"/>
  <c r="AS46" i="44"/>
  <c r="AS111" i="44"/>
  <c r="AQ16" i="44"/>
  <c r="AQ120" i="44"/>
  <c r="AS120" i="44" s="1"/>
  <c r="AR75" i="44"/>
  <c r="AQ56" i="44"/>
  <c r="AQ52" i="44"/>
  <c r="AS52" i="44" s="1"/>
  <c r="AQ94" i="44"/>
  <c r="AS94" i="44" s="1"/>
  <c r="AQ84" i="44"/>
  <c r="AQ66" i="44"/>
  <c r="AT94" i="44" l="1"/>
  <c r="AR101" i="44"/>
  <c r="AR100" i="44" s="1"/>
  <c r="AS101" i="44"/>
  <c r="AT101" i="44" s="1"/>
  <c r="AT100" i="44" s="1"/>
  <c r="AR81" i="44"/>
  <c r="AS84" i="44"/>
  <c r="AT81" i="44" s="1"/>
  <c r="AR46" i="44"/>
  <c r="B37" i="44"/>
  <c r="B40" i="44" s="1"/>
  <c r="AR31" i="44"/>
  <c r="AS31" i="44"/>
  <c r="AT31" i="44" s="1"/>
  <c r="AR56" i="44"/>
  <c r="AR55" i="44" s="1"/>
  <c r="AS56" i="44"/>
  <c r="AT56" i="44" s="1"/>
  <c r="AT55" i="44" s="1"/>
  <c r="AR111" i="44"/>
  <c r="AR110" i="44" s="1"/>
  <c r="AR16" i="44"/>
  <c r="AS16" i="44"/>
  <c r="AT16" i="44" s="1"/>
  <c r="AT111" i="44"/>
  <c r="AT110" i="44" s="1"/>
  <c r="AT46" i="44"/>
  <c r="AR40" i="44"/>
  <c r="AS40" i="44"/>
  <c r="AT40" i="44" s="1"/>
  <c r="AS66" i="44"/>
  <c r="AT66" i="44" s="1"/>
  <c r="AR66" i="44"/>
  <c r="B43" i="44" l="1"/>
  <c r="B46" i="44"/>
  <c r="B49" i="44" s="1"/>
  <c r="B52" i="44" s="1"/>
  <c r="B56" i="44" s="1"/>
  <c r="AT65" i="44"/>
  <c r="AR65" i="44"/>
  <c r="AA5" i="44"/>
  <c r="AA74" i="41" s="1"/>
  <c r="AT15" i="44"/>
  <c r="AR15" i="44"/>
  <c r="AN76" i="41" l="1"/>
  <c r="AN74" i="41"/>
  <c r="B59" i="44"/>
  <c r="B62" i="44" s="1"/>
  <c r="B66" i="44" l="1"/>
  <c r="B69" i="44" s="1"/>
  <c r="B72" i="44" s="1"/>
  <c r="B75" i="44" l="1"/>
  <c r="B78" i="44" s="1"/>
  <c r="B81" i="44" s="1"/>
  <c r="B84" i="44" s="1"/>
  <c r="B87" i="44" s="1"/>
  <c r="B90" i="44" s="1"/>
  <c r="B94" i="44" s="1"/>
  <c r="B97" i="44" s="1"/>
  <c r="B101" i="44" s="1"/>
  <c r="B104" i="44" s="1"/>
  <c r="B107" i="44" s="1"/>
  <c r="I8" i="41" l="1"/>
  <c r="AA8" i="41" l="1"/>
  <c r="AN8" i="41" l="1"/>
  <c r="AW8" i="23"/>
  <c r="F29" i="41"/>
  <c r="Z2" i="41" l="1"/>
  <c r="AD20" i="35"/>
  <c r="R18" i="35"/>
  <c r="K10" i="44" s="1"/>
  <c r="M32" i="23"/>
  <c r="S32" i="23"/>
  <c r="Y32" i="23"/>
  <c r="AE32" i="23"/>
  <c r="AH8" i="36"/>
  <c r="AH9" i="36"/>
  <c r="Y20" i="23"/>
  <c r="R13" i="35"/>
  <c r="K8" i="44" s="1"/>
  <c r="R12" i="35"/>
  <c r="N7" i="44" s="1"/>
  <c r="AM11" i="35"/>
  <c r="K7" i="44" s="1"/>
  <c r="AD16" i="37"/>
  <c r="AA16" i="37"/>
  <c r="X16" i="37"/>
  <c r="AB8" i="36"/>
  <c r="AB9" i="36"/>
  <c r="R17" i="35"/>
  <c r="S20" i="23"/>
  <c r="Q29" i="41" l="1"/>
  <c r="I58" i="51"/>
  <c r="I64" i="50"/>
  <c r="B25" i="41"/>
  <c r="R19" i="35"/>
  <c r="X23" i="36"/>
  <c r="AH12" i="36"/>
  <c r="AN36" i="35"/>
  <c r="AE19" i="23"/>
  <c r="AE20" i="23" s="1"/>
  <c r="AK32" i="23"/>
  <c r="AA71" i="41" l="1"/>
  <c r="AA77" i="41" l="1"/>
  <c r="AA17" i="41"/>
  <c r="M20" i="23"/>
  <c r="J36" i="41" l="1"/>
  <c r="AN37" i="41" s="1"/>
  <c r="AO47" i="41" l="1"/>
  <c r="AO36" i="41"/>
  <c r="Q36" i="41"/>
  <c r="AO50" i="41"/>
  <c r="AO57" i="41"/>
  <c r="AO48" i="41"/>
  <c r="AO52" i="41"/>
  <c r="AO56" i="41"/>
  <c r="AO49" i="41"/>
  <c r="AO53" i="41"/>
  <c r="AO54" i="41"/>
  <c r="AO51" i="41"/>
  <c r="AO55" i="41"/>
  <c r="Q40" i="41" l="1"/>
  <c r="AN38" i="41"/>
  <c r="F40" i="41"/>
  <c r="AN39" i="41" l="1"/>
  <c r="AN40" i="41"/>
  <c r="AN41" i="41" s="1"/>
  <c r="AA40" i="41" s="1"/>
  <c r="AN36" i="41" s="1"/>
  <c r="AN42" i="41" s="1"/>
  <c r="AN101" i="41" s="1"/>
  <c r="AA80" i="41"/>
  <c r="AA84" i="41" s="1"/>
  <c r="AN93" i="41" l="1"/>
  <c r="AN85" i="41"/>
  <c r="AN100" i="41" s="1"/>
  <c r="AN92" i="41"/>
  <c r="AN95" i="41"/>
  <c r="AN91" i="41"/>
  <c r="AN94" i="41"/>
  <c r="AN90" i="41"/>
  <c r="B103" i="41" l="1"/>
  <c r="B98" i="41"/>
  <c r="AO101" i="41"/>
  <c r="B10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東京都</author>
  </authors>
  <commentList>
    <comment ref="AG17" authorId="0" shapeId="0" xr:uid="{00000000-0006-0000-0100-000001000000}">
      <text>
        <r>
          <rPr>
            <sz val="9"/>
            <color indexed="81"/>
            <rFont val="ＭＳ Ｐゴシック"/>
            <family val="3"/>
            <charset val="128"/>
          </rPr>
          <t>事業の業種は大分類（左のセル）、及び中分類（右のセル）の両方を選択してください。</t>
        </r>
      </text>
    </comment>
    <comment ref="R35" authorId="1" shapeId="0" xr:uid="{00000000-0006-0000-0100-000002000000}">
      <text>
        <r>
          <rPr>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b/>
            <sz val="9"/>
            <color indexed="81"/>
            <rFont val="MS P ゴシック"/>
            <family val="3"/>
            <charset val="128"/>
          </rPr>
          <t>その４シート(4)の当該年度のセルに転記してください。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34" authorId="0" shapeId="0" xr:uid="{00000000-0006-0000-0800-000002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800-000003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800-000004000000}">
      <text>
        <r>
          <rPr>
            <b/>
            <sz val="14"/>
            <color indexed="12"/>
            <rFont val="Meiryo UI"/>
            <family val="3"/>
            <charset val="128"/>
          </rPr>
          <t>№9で『0』を選択した場合は、『0』しか選択できません。</t>
        </r>
      </text>
    </comment>
    <comment ref="AG49" authorId="0" shapeId="0" xr:uid="{00000000-0006-0000-0800-000005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xr:uid="{00000000-0006-0000-0800-000006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66" authorId="0" shapeId="0" xr:uid="{00000000-0006-0000-0800-000007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2" authorId="0" shapeId="0" xr:uid="{00000000-0006-0000-0800-000008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8" authorId="0" shapeId="0" xr:uid="{00000000-0006-0000-0800-000009000000}">
      <text>
        <r>
          <rPr>
            <b/>
            <sz val="14"/>
            <color indexed="12"/>
            <rFont val="Meiryo UI"/>
            <family val="3"/>
            <charset val="128"/>
          </rPr>
          <t>起動については、以下ものが対象です。
夏期及び冬期：（早めに空調を起動している場合）室の使用時刻と目標温度に達する時刻が15分以内
中間期：就業時間と同時刻
停止については、室使用終了時刻もしくはそれより前に空調を停止しているものが対象です。</t>
        </r>
      </text>
    </comment>
    <comment ref="AG90" authorId="0" shapeId="0" xr:uid="{00000000-0006-0000-0800-00000A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1" authorId="0" shapeId="0" xr:uid="{00000000-0006-0000-0800-00000B000000}">
      <text>
        <r>
          <rPr>
            <b/>
            <sz val="14"/>
            <color indexed="12"/>
            <rFont val="Meiryo UI"/>
            <family val="3"/>
            <charset val="128"/>
          </rPr>
          <t>高効率化には「トップフード照明」、「反射板の利用」、「LED化」などがあります。
オーナー資産である場合も評価対象としてください。</t>
        </r>
      </text>
    </comment>
    <comment ref="AG104" authorId="0" shapeId="0" xr:uid="{00000000-0006-0000-0800-00000C000000}">
      <text>
        <r>
          <rPr>
            <b/>
            <sz val="14"/>
            <color indexed="12"/>
            <rFont val="Meiryo UI"/>
            <family val="3"/>
            <charset val="128"/>
          </rPr>
          <t>省エネ型の業務用冷蔵冷凍庫はインバータ方式により電動圧縮機の制御するものが該当します。
オーナー資産である場合も評価対象としてください。</t>
        </r>
      </text>
    </comment>
    <comment ref="AG107" authorId="0" shapeId="0" xr:uid="{00000000-0006-0000-0800-00000D000000}">
      <text>
        <r>
          <rPr>
            <b/>
            <sz val="14"/>
            <color indexed="12"/>
            <rFont val="Meiryo UI"/>
            <family val="3"/>
            <charset val="128"/>
          </rPr>
          <t>オーナー資産である場合も評価対象としてください。</t>
        </r>
      </text>
    </comment>
    <comment ref="AG120" authorId="1" shapeId="0" xr:uid="{00000000-0006-0000-0800-00000E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ヘルプデスク７</author>
  </authors>
  <commentList>
    <comment ref="AN42" authorId="0" shapeId="0" xr:uid="{00000000-0006-0000-0900-000001000000}">
      <text>
        <r>
          <rPr>
            <b/>
            <sz val="9"/>
            <color indexed="81"/>
            <rFont val="MS P ゴシック"/>
            <family val="3"/>
            <charset val="128"/>
          </rPr>
          <t>公表対象である場合（排出実績評価点が21点以上）に「１」が表示されるように関数を組んでいますが、上手くいきません…</t>
        </r>
      </text>
    </comment>
  </commentList>
</comments>
</file>

<file path=xl/sharedStrings.xml><?xml version="1.0" encoding="utf-8"?>
<sst xmlns="http://schemas.openxmlformats.org/spreadsheetml/2006/main" count="1143" uniqueCount="786">
  <si>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</si>
  <si>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</si>
  <si>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</si>
  <si>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</si>
  <si>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</si>
  <si>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</si>
  <si>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</si>
  <si>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</si>
  <si>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</si>
  <si>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</si>
  <si>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</si>
  <si>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</si>
  <si>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</si>
  <si>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</si>
  <si>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</si>
  <si>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該当無</t>
  </si>
  <si>
    <t>合計</t>
  </si>
  <si>
    <t>対象項目</t>
  </si>
  <si>
    <t>実施済</t>
  </si>
  <si>
    <t>実施無</t>
  </si>
  <si>
    <t>実施予定</t>
  </si>
  <si>
    <t>今年度</t>
  </si>
  <si>
    <t>来年度</t>
  </si>
  <si>
    <t>未定</t>
  </si>
  <si>
    <t>再来年度</t>
  </si>
  <si>
    <t>届出者</t>
    <rPh sb="0" eb="2">
      <t>トドケデ</t>
    </rPh>
    <rPh sb="2" eb="3">
      <t>シャ</t>
    </rPh>
    <phoneticPr fontId="21"/>
  </si>
  <si>
    <t>代理人</t>
    <rPh sb="0" eb="3">
      <t>ダイリニン</t>
    </rPh>
    <phoneticPr fontId="21"/>
  </si>
  <si>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</si>
  <si>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</si>
  <si>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</si>
  <si>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</si>
  <si>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</si>
  <si>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</si>
  <si>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</si>
  <si>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</si>
  <si>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</si>
  <si>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</si>
  <si>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</si>
  <si>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</si>
  <si>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</si>
  <si>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</si>
  <si>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</si>
  <si>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</si>
  <si>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</si>
  <si>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</si>
  <si>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</si>
  <si>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</si>
  <si>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</si>
  <si>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</si>
  <si>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</si>
  <si>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</si>
  <si>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</si>
  <si>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</si>
  <si>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</si>
  <si>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</si>
  <si>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</si>
  <si>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</si>
  <si>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</si>
  <si>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</si>
  <si>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</si>
  <si>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</si>
  <si>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</si>
  <si>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</si>
  <si>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</si>
  <si>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</si>
  <si>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</si>
  <si>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</si>
  <si>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</si>
  <si>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</si>
  <si>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</si>
  <si>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</si>
  <si>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</si>
  <si>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</si>
  <si>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</si>
  <si>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</si>
  <si>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</si>
  <si>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</si>
  <si>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</si>
  <si>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</si>
  <si>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</si>
  <si>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</si>
  <si>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</si>
  <si>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</si>
  <si>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</si>
  <si>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</si>
  <si>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</si>
  <si>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</si>
  <si>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</si>
  <si>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</si>
  <si>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</si>
  <si>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</si>
  <si>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</si>
  <si>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</si>
  <si>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</si>
  <si>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</si>
  <si>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</si>
  <si>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</si>
  <si>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</si>
  <si>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</si>
  <si>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</si>
  <si>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</si>
  <si>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該当無</t>
    <phoneticPr fontId="2"/>
  </si>
  <si>
    <t>指定番号</t>
    <rPh sb="0" eb="2">
      <t>シテイ</t>
    </rPh>
    <rPh sb="2" eb="4">
      <t>バンゴウ</t>
    </rPh>
    <phoneticPr fontId="2"/>
  </si>
  <si>
    <t>推計</t>
    <rPh sb="0" eb="2">
      <t>スイケイ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</si>
  <si>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</si>
  <si>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</si>
  <si>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</si>
  <si>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</si>
  <si>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</si>
  <si>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</si>
  <si>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</si>
  <si>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</si>
  <si>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</si>
  <si>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</si>
  <si>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</si>
  <si>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</si>
  <si>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</si>
  <si>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</si>
  <si>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</si>
  <si>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</si>
  <si>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</si>
  <si>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</si>
  <si>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</si>
  <si>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</si>
  <si>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</si>
  <si>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</si>
  <si>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</si>
  <si>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</si>
  <si>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</si>
  <si>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</si>
  <si>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</si>
  <si>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</si>
  <si>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</si>
  <si>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</si>
  <si>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</si>
  <si>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</si>
  <si>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</si>
  <si>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</si>
  <si>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</si>
  <si>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</si>
  <si>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</si>
  <si>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</si>
  <si>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</si>
  <si>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</si>
  <si>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</si>
  <si>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</si>
  <si>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</si>
  <si>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</si>
  <si>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</si>
  <si>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</si>
  <si>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</si>
  <si>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</si>
  <si>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</si>
  <si>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</si>
  <si>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</si>
  <si>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</si>
  <si>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</si>
  <si>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</si>
  <si>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</si>
  <si>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</si>
  <si>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</si>
  <si>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</si>
  <si>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</si>
  <si>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</si>
  <si>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</si>
  <si>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</si>
  <si>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</si>
  <si>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</si>
  <si>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</si>
  <si>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</si>
  <si>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</si>
  <si>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</si>
  <si>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</si>
  <si>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</si>
  <si>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</si>
  <si>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</si>
  <si>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</si>
  <si>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</si>
  <si>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</si>
  <si>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</si>
  <si>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</si>
  <si>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</si>
  <si>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</si>
  <si>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</si>
  <si>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</si>
  <si>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</si>
  <si>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</si>
  <si>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</si>
  <si>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</si>
  <si>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</si>
  <si>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</si>
  <si>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</si>
  <si>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</si>
  <si>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</si>
  <si>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</si>
  <si>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</si>
  <si>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</si>
  <si>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</si>
  <si>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</si>
  <si>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</si>
  <si>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</si>
  <si>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</si>
  <si>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</si>
  <si>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</si>
  <si>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</si>
  <si>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</si>
  <si>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</si>
  <si>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</si>
  <si>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</si>
  <si>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</si>
  <si>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</si>
  <si>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</si>
  <si>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</si>
  <si>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</si>
  <si>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</si>
  <si>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</si>
  <si>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</si>
  <si>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</si>
  <si>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</si>
  <si>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</si>
  <si>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</si>
  <si>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</si>
  <si>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</si>
  <si>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</si>
  <si>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</si>
  <si>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</si>
  <si>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</si>
  <si>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</si>
  <si>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</si>
  <si>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</si>
  <si>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</si>
  <si>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</si>
  <si>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</si>
  <si>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</si>
  <si>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</si>
  <si>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</si>
  <si>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</si>
  <si>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</si>
  <si>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</si>
  <si>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</si>
  <si>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</si>
  <si>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</si>
  <si>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</si>
  <si>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</si>
  <si>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</si>
  <si>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</si>
  <si>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</si>
  <si>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</si>
  <si>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</si>
  <si>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</si>
  <si>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</si>
  <si>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</si>
  <si>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</si>
  <si>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</si>
  <si>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</si>
  <si>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</si>
  <si>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</si>
  <si>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</si>
  <si>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</si>
  <si>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</si>
  <si>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</si>
  <si>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</si>
  <si>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</si>
  <si>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</si>
  <si>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</si>
  <si>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</si>
  <si>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</si>
  <si>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</si>
  <si>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</si>
  <si>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</si>
  <si>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</si>
  <si>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</si>
  <si>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</si>
  <si>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</si>
  <si>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</si>
  <si>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</si>
  <si>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</si>
  <si>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</si>
  <si>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</si>
  <si>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</si>
  <si>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</si>
  <si>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</si>
  <si>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</si>
  <si>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</si>
  <si>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</si>
  <si>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</si>
  <si>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</si>
  <si>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</si>
  <si>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</si>
  <si>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</si>
  <si>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</si>
  <si>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</si>
  <si>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</si>
  <si>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</si>
  <si>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</si>
  <si>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</si>
  <si>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</si>
  <si>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</si>
  <si>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</si>
  <si>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</si>
  <si>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</si>
  <si>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</si>
  <si>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</si>
  <si>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</si>
  <si>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</si>
  <si>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</si>
  <si>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</si>
  <si>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</si>
  <si>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</si>
  <si>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</si>
  <si>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</si>
  <si>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</si>
  <si>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</si>
  <si>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</si>
  <si>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</si>
  <si>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</si>
  <si>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</si>
  <si>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</si>
  <si>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</si>
  <si>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</si>
  <si>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</si>
  <si>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</si>
  <si>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</si>
  <si>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</si>
  <si>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</si>
  <si>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</si>
  <si>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</si>
  <si>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</si>
  <si>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</si>
  <si>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</si>
  <si>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</si>
  <si>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</si>
  <si>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</si>
  <si>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</si>
  <si>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</si>
  <si>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</si>
  <si>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</si>
  <si>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</si>
  <si>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</si>
  <si>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</si>
  <si>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</si>
  <si>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</si>
  <si>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</si>
  <si>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</si>
  <si>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</si>
  <si>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</si>
  <si>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</si>
  <si>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</si>
  <si>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</si>
  <si>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</si>
  <si>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</si>
  <si>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</si>
  <si>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</si>
  <si>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</si>
  <si>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</si>
  <si>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</si>
  <si>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年度</t>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</si>
  <si>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</si>
  <si>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</si>
  <si>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</si>
  <si>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1"/>
  </si>
  <si>
    <t>年</t>
    <rPh sb="0" eb="1">
      <t>ネン</t>
    </rPh>
    <phoneticPr fontId="21"/>
  </si>
  <si>
    <t>月</t>
    <rPh sb="0" eb="1">
      <t>ツキ</t>
    </rPh>
    <phoneticPr fontId="21"/>
  </si>
  <si>
    <t>日</t>
    <rPh sb="0" eb="1">
      <t>ヒ</t>
    </rPh>
    <phoneticPr fontId="21"/>
  </si>
  <si>
    <t>東 京 都 知 事　殿</t>
    <rPh sb="0" eb="1">
      <t>ヒガシ</t>
    </rPh>
    <rPh sb="2" eb="3">
      <t>キョウ</t>
    </rPh>
    <rPh sb="4" eb="5">
      <t>ミヤコ</t>
    </rPh>
    <rPh sb="6" eb="7">
      <t>チ</t>
    </rPh>
    <rPh sb="8" eb="9">
      <t>コト</t>
    </rPh>
    <rPh sb="10" eb="11">
      <t>ドノ</t>
    </rPh>
    <phoneticPr fontId="21"/>
  </si>
  <si>
    <t>住所</t>
    <rPh sb="0" eb="2">
      <t>ジュウショ</t>
    </rPh>
    <phoneticPr fontId="21"/>
  </si>
  <si>
    <t>氏名</t>
    <rPh sb="0" eb="2">
      <t>シメイ</t>
    </rPh>
    <phoneticPr fontId="21"/>
  </si>
  <si>
    <t>㊞</t>
    <phoneticPr fontId="21"/>
  </si>
  <si>
    <t>法人にあっては名称、代表者の氏名
及び主たる事務所の所在地</t>
    <phoneticPr fontId="21"/>
  </si>
  <si>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1"/>
  </si>
  <si>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1"/>
  </si>
  <si>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1"/>
  </si>
  <si>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1"/>
  </si>
  <si>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1"/>
  </si>
  <si>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1"/>
  </si>
  <si>
    <t>　別添のとおり</t>
    <rPh sb="1" eb="3">
      <t>ベッテン</t>
    </rPh>
    <phoneticPr fontId="21"/>
  </si>
  <si>
    <t>連絡先</t>
    <rPh sb="0" eb="3">
      <t>レンラクサキ</t>
    </rPh>
    <phoneticPr fontId="21"/>
  </si>
  <si>
    <t>会社名</t>
    <rPh sb="0" eb="2">
      <t>カイシャ</t>
    </rPh>
    <rPh sb="2" eb="3">
      <t>メイ</t>
    </rPh>
    <phoneticPr fontId="21"/>
  </si>
  <si>
    <t>郵便番号</t>
    <rPh sb="0" eb="4">
      <t>ユウビンバンゴウ</t>
    </rPh>
    <phoneticPr fontId="21"/>
  </si>
  <si>
    <t>所属名</t>
    <rPh sb="0" eb="3">
      <t>ショゾクメイ</t>
    </rPh>
    <phoneticPr fontId="21"/>
  </si>
  <si>
    <t>担当者名</t>
    <rPh sb="0" eb="3">
      <t>タントウシャ</t>
    </rPh>
    <rPh sb="3" eb="4">
      <t>メイ</t>
    </rPh>
    <phoneticPr fontId="21"/>
  </si>
  <si>
    <t>電話番号</t>
    <rPh sb="0" eb="2">
      <t>デンワ</t>
    </rPh>
    <rPh sb="2" eb="4">
      <t>バンゴウ</t>
    </rPh>
    <phoneticPr fontId="21"/>
  </si>
  <si>
    <t>ﾒｰﾙｱﾄﾞﾚｽ</t>
    <phoneticPr fontId="21"/>
  </si>
  <si>
    <t>備考</t>
    <rPh sb="0" eb="2">
      <t>ビコウ</t>
    </rPh>
    <phoneticPr fontId="21"/>
  </si>
  <si>
    <t>※受付欄</t>
    <phoneticPr fontId="21"/>
  </si>
  <si>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</si>
  <si>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</si>
  <si>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</si>
  <si>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g1：</t>
    <phoneticPr fontId="2"/>
  </si>
  <si>
    <t>g2：</t>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</si>
  <si>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</si>
  <si>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</si>
  <si>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</si>
  <si>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</si>
  <si>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</si>
  <si>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</si>
  <si>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</si>
  <si>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</si>
  <si>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</si>
  <si>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</si>
  <si>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</si>
  <si>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</si>
  <si>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</si>
  <si>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</si>
  <si>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</si>
  <si>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</si>
  <si>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</si>
  <si>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</si>
  <si>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</si>
  <si>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</si>
  <si>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</si>
  <si>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</si>
  <si>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</si>
  <si>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</si>
  <si>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</si>
  <si>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</si>
  <si>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</si>
  <si>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</si>
  <si>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</si>
  <si>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</si>
  <si>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</si>
  <si>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</si>
  <si>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</si>
  <si>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</si>
  <si>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</si>
  <si>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</si>
  <si>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</si>
  <si>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</si>
  <si>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</si>
  <si>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</si>
  <si>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</si>
  <si>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</si>
  <si>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</si>
  <si>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</si>
  <si>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</si>
  <si>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</si>
  <si>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</si>
  <si>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</si>
  <si>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</si>
  <si>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</si>
  <si>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</si>
  <si>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</si>
  <si>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</si>
  <si>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</si>
  <si>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</si>
  <si>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</si>
  <si>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</si>
  <si>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</si>
  <si>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</si>
  <si>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</si>
  <si>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</si>
  <si>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</si>
  <si>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</si>
  <si>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</si>
  <si>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</si>
  <si>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</si>
  <si>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</si>
  <si>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</si>
  <si>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</si>
  <si>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</si>
  <si>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</si>
  <si>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</si>
  <si>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</si>
  <si>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</si>
  <si>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</si>
  <si>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</si>
  <si>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</si>
  <si>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</si>
  <si>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</si>
  <si>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</si>
  <si>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</si>
  <si>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</si>
  <si>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</si>
  <si>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</si>
  <si>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</si>
  <si>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</si>
  <si>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</si>
  <si>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1"/>
  </si>
  <si>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</si>
  <si>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</si>
  <si>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</si>
  <si>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</si>
  <si>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</si>
  <si>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</si>
  <si>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</si>
  <si>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</si>
  <si>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</si>
  <si>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</si>
  <si>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</si>
  <si>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</si>
  <si>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</si>
  <si>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</si>
  <si>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</si>
  <si>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PDCA管理サイクルの実施体制の整備</t>
    <rPh sb="4" eb="6">
      <t>カンリ</t>
    </rPh>
    <rPh sb="11" eb="13">
      <t>ジッシ</t>
    </rPh>
    <rPh sb="13" eb="15">
      <t>タイセイ</t>
    </rPh>
    <rPh sb="16" eb="18">
      <t>セイビ</t>
    </rPh>
    <phoneticPr fontId="2"/>
  </si>
  <si>
    <t>テナント事業者の
推進体制の整備</t>
    <rPh sb="4" eb="7">
      <t>ジギョウシャ</t>
    </rPh>
    <rPh sb="9" eb="11">
      <t>スイシン</t>
    </rPh>
    <rPh sb="11" eb="13">
      <t>タイセイ</t>
    </rPh>
    <rPh sb="14" eb="16">
      <t>セイビ</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</si>
  <si>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</si>
  <si>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</si>
  <si>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</si>
  <si>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</si>
  <si>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</si>
  <si>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r>
      <t>再生可能エネルギー（再エネ）の利用状況について、</t>
    </r>
    <r>
      <rPr>
        <b/>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</si>
  <si>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</si>
  <si>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</si>
  <si>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</si>
  <si>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</si>
  <si>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</si>
  <si>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</si>
  <si>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</si>
  <si>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</si>
  <si>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</si>
  <si>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</si>
  <si>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</si>
  <si>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</si>
  <si>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</si>
  <si>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</si>
  <si>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</si>
  <si>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</si>
  <si>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</si>
  <si>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</si>
  <si>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</si>
  <si>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</si>
  <si>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</si>
  <si>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</si>
  <si>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</si>
  <si>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</si>
  <si>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</si>
  <si>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</si>
  <si>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</si>
  <si>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</si>
  <si>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</si>
  <si>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</si>
  <si>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</si>
  <si>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</si>
  <si>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</si>
  <si>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</si>
  <si>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</si>
  <si>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</si>
  <si>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</si>
  <si>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</si>
  <si>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</si>
  <si>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</si>
  <si>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</si>
  <si>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</si>
  <si>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 xml:space="preserve"> (2)　削減計画期間以降の削減目標</t>
    <rPh sb="5" eb="7">
      <t>サクゲン</t>
    </rPh>
    <rPh sb="11" eb="13">
      <t>イコウ</t>
    </rPh>
    <rPh sb="14" eb="16">
      <t>サクゲン</t>
    </rPh>
    <rPh sb="16" eb="18">
      <t>モクヒョウ</t>
    </rPh>
    <phoneticPr fontId="2"/>
  </si>
  <si>
    <t>６　その他の取組（事業者としての取組）</t>
    <rPh sb="4" eb="5">
      <t>タ</t>
    </rPh>
    <rPh sb="6" eb="8">
      <t>トリクミ</t>
    </rPh>
    <rPh sb="9" eb="12">
      <t>ジギョウシャ</t>
    </rPh>
    <rPh sb="16" eb="18">
      <t>トリクミ</t>
    </rPh>
    <phoneticPr fontId="2"/>
  </si>
  <si>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</si>
  <si>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</si>
  <si>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</si>
  <si>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</si>
  <si>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</si>
  <si>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4"/>
  </si>
  <si>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</si>
  <si>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</si>
  <si>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</si>
  <si>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</si>
  <si>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</si>
  <si>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</si>
  <si>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</si>
  <si>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</si>
  <si>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</si>
  <si>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</si>
  <si>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</si>
  <si>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</si>
  <si>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</si>
  <si>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</si>
  <si>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</si>
  <si>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</si>
  <si>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</si>
  <si>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</si>
  <si>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</si>
  <si>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</si>
  <si>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</si>
  <si>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</si>
  <si>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</si>
  <si>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</si>
  <si>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</si>
  <si>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</si>
  <si>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</si>
  <si>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</si>
  <si>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</si>
  <si>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</si>
  <si>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</si>
  <si>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</si>
  <si>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</si>
  <si>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</si>
  <si>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</si>
  <si>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</si>
  <si>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</si>
  <si>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</si>
  <si>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</si>
  <si>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</si>
  <si>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</si>
  <si>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</si>
  <si>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</si>
  <si>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</si>
  <si>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</si>
  <si>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</si>
  <si>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</si>
  <si>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</si>
  <si>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</si>
  <si>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</si>
  <si>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</si>
  <si>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オーナーが整備する協力推進体制による会議等にどの程度の頻度で参画しているか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24" eb="26">
      <t>テイド</t>
    </rPh>
    <rPh sb="27" eb="29">
      <t>ヒンド</t>
    </rPh>
    <rPh sb="30" eb="32">
      <t>サンカク</t>
    </rPh>
    <rPh sb="39" eb="41">
      <t>キョウリョク</t>
    </rPh>
    <rPh sb="41" eb="43">
      <t>スイシン</t>
    </rPh>
    <rPh sb="43" eb="45">
      <t>タイセイ</t>
    </rPh>
    <rPh sb="61" eb="62">
      <t>トウ</t>
    </rPh>
    <rPh sb="62" eb="65">
      <t>ジギョウシャ</t>
    </rPh>
    <rPh sb="66" eb="68">
      <t>キョウリョク</t>
    </rPh>
    <rPh sb="70" eb="72">
      <t>チキュウ</t>
    </rPh>
    <rPh sb="72" eb="75">
      <t>オンダンカ</t>
    </rPh>
    <rPh sb="76" eb="78">
      <t>タイサク</t>
    </rPh>
    <rPh sb="79" eb="81">
      <t>スイシン</t>
    </rPh>
    <rPh sb="86" eb="88">
      <t>タイセイ</t>
    </rPh>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</si>
  <si>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</si>
  <si>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</si>
  <si>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</si>
  <si>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</si>
  <si>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</si>
  <si>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</si>
  <si>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4"/>
  </si>
  <si>
    <t>電気</t>
    <rPh sb="0" eb="2">
      <t>デンキ</t>
    </rPh>
    <phoneticPr fontId="2"/>
  </si>
  <si>
    <t>電気</t>
    <rPh sb="0" eb="2">
      <t>デンキ</t>
    </rPh>
    <phoneticPr fontId="74"/>
  </si>
  <si>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</si>
  <si>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</si>
  <si>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</si>
  <si>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</si>
  <si>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</si>
  <si>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</si>
  <si>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</si>
  <si>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</si>
  <si>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</si>
  <si>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</si>
  <si>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</si>
  <si>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</si>
  <si>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</si>
  <si>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</si>
  <si>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</si>
  <si>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</si>
  <si>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</si>
  <si>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</si>
  <si>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</si>
  <si>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テナント点検表【商業版】</t>
    <rPh sb="4" eb="6">
      <t>テンケン</t>
    </rPh>
    <rPh sb="6" eb="7">
      <t>ヒョウ</t>
    </rPh>
    <rPh sb="8" eb="10">
      <t>ショウギョウ</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</si>
  <si>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</si>
  <si>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</si>
  <si>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</si>
  <si>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１：なっている
０：なっていない</t>
    <phoneticPr fontId="2"/>
  </si>
  <si>
    <t>２：策定及び公表
１：策定のみ
０：実施無し</t>
    <rPh sb="4" eb="5">
      <t>オヨ</t>
    </rPh>
    <rPh sb="6" eb="8">
      <t>コウヒョウ</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</si>
  <si>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</si>
  <si>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</si>
  <si>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これまで、オーナーとのやり取りの中で、テナント専有部における省エネ対策の提案をした、又は提案を受けたことがあるか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58" eb="60">
      <t>ビコウ</t>
    </rPh>
    <rPh sb="60" eb="61">
      <t>ラン</t>
    </rPh>
    <rPh sb="62" eb="65">
      <t>グタイテキ</t>
    </rPh>
    <rPh sb="66" eb="68">
      <t>テイアン</t>
    </rPh>
    <rPh sb="68" eb="70">
      <t>ナイヨウ</t>
    </rPh>
    <rPh sb="71" eb="73">
      <t>キサイ</t>
    </rPh>
    <phoneticPr fontId="2"/>
  </si>
  <si>
    <t>３：テナント側から提案し、対応している（対応中含む）
２：オーナーから提案され、対応している（対応中含む）
１：テナント側から提案したが、実現に至っていない
０：オーナーから提案されたが、実現に至っていない、又は双方提案したことはない</t>
  </si>
  <si>
    <r>
      <t>これまで、オーナーとのやり取りの中で、ビル共用部における省エネ対策の提案をした、又は提案を受けたことがあるか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phoneticPr fontId="2"/>
  </si>
  <si>
    <t>４：エネルギー消費先用途（空調、照明・コンセント等）ごとに日又は時間単位で把握
３：場所ごとに日又は時間単位で把握
２：総使用量を日又は時間単位で把握
１：総使用量を月単位で把握
０：受けていない（把握していない）</t>
  </si>
  <si>
    <t>省エネ対策における啓発活動</t>
    <rPh sb="0" eb="1">
      <t>ショウ</t>
    </rPh>
    <rPh sb="3" eb="5">
      <t>タイサク</t>
    </rPh>
    <rPh sb="9" eb="11">
      <t>ケイハツ</t>
    </rPh>
    <rPh sb="11" eb="13">
      <t>カツドウ</t>
    </rPh>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</si>
  <si>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</si>
  <si>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３：２に加えて、社内アンケート調査等を行い、実施状況を把握
２：バックヤード・事務室、売場も含め実施
１：バックヤード・事務室又は売場にて実施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ウリバ</t>
    </rPh>
    <rPh sb="46" eb="47">
      <t>フク</t>
    </rPh>
    <rPh sb="48" eb="50">
      <t>ジッシ</t>
    </rPh>
    <rPh sb="63" eb="64">
      <t>マタ</t>
    </rPh>
    <rPh sb="65" eb="67">
      <t>ウリバ</t>
    </rPh>
    <rPh sb="69" eb="71">
      <t>ジッシ</t>
    </rPh>
    <rPh sb="74" eb="76">
      <t>ジッシ</t>
    </rPh>
    <rPh sb="76" eb="77">
      <t>ナ</t>
    </rPh>
    <phoneticPr fontId="2"/>
  </si>
  <si>
    <t>店舗との共有</t>
    <rPh sb="0" eb="2">
      <t>テンポ</t>
    </rPh>
    <rPh sb="4" eb="6">
      <t>キョウユウ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</si>
  <si>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</si>
  <si>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</si>
  <si>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該当無</t>
    <rPh sb="0" eb="2">
      <t>ガイトウ</t>
    </rPh>
    <rPh sb="2" eb="3">
      <t>ナシ</t>
    </rPh>
    <phoneticPr fontId="2"/>
  </si>
  <si>
    <t>バックヤード・事務室</t>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</si>
  <si>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</si>
  <si>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２：300lx以上400lx程度以下
１：500lx程度
０：750lx程度
-1：1000lx以上又は把握していない</t>
  </si>
  <si>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</si>
  <si>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</si>
  <si>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４：100％LED化
３：80％以上～100％未満でLED化
２：50％以上～80％未満でLED化
１：高効率化していないが、オーナーに提案
０：高効率化していない又は把握していない</t>
    <rPh sb="23" eb="25">
      <t>ミマン</t>
    </rPh>
    <rPh sb="42" eb="44">
      <t>ミマン</t>
    </rPh>
    <phoneticPr fontId="2"/>
  </si>
  <si>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</si>
  <si>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</si>
  <si>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売場
（照明）</t>
    <rPh sb="0" eb="2">
      <t>ウリバ</t>
    </rPh>
    <rPh sb="4" eb="6">
      <t>ショウメイ</t>
    </rPh>
    <phoneticPr fontId="2"/>
  </si>
  <si>
    <r>
      <t>照度を測定しているか
（「１」を選択した場合、物販・食料品・飲食の各エリアの平均照度を</t>
    </r>
    <r>
      <rPr>
        <u/>
        <sz val="11"/>
        <color indexed="10"/>
        <rFont val="HG丸ｺﾞｼｯｸM-PRO"/>
        <family val="3"/>
        <charset val="128"/>
      </rPr>
      <t>備考欄</t>
    </r>
    <r>
      <rPr>
        <sz val="11"/>
        <rFont val="HG丸ｺﾞｼｯｸM-PRO"/>
        <family val="3"/>
        <charset val="128"/>
      </rPr>
      <t>に記載）</t>
    </r>
    <rPh sb="0" eb="2">
      <t>ショウド</t>
    </rPh>
    <rPh sb="3" eb="5">
      <t>ソクテイ</t>
    </rPh>
    <rPh sb="16" eb="18">
      <t>センタク</t>
    </rPh>
    <rPh sb="20" eb="22">
      <t>バアイ</t>
    </rPh>
    <rPh sb="23" eb="25">
      <t>ブッパン</t>
    </rPh>
    <rPh sb="26" eb="29">
      <t>ショクリョウヒン</t>
    </rPh>
    <rPh sb="30" eb="32">
      <t>インショク</t>
    </rPh>
    <rPh sb="33" eb="34">
      <t>カク</t>
    </rPh>
    <rPh sb="38" eb="40">
      <t>ヘイキン</t>
    </rPh>
    <rPh sb="40" eb="42">
      <t>ショウド</t>
    </rPh>
    <rPh sb="43" eb="45">
      <t>ビコウ</t>
    </rPh>
    <rPh sb="45" eb="46">
      <t>ラン</t>
    </rPh>
    <rPh sb="47" eb="49">
      <t>キサイ</t>
    </rPh>
    <phoneticPr fontId="2"/>
  </si>
  <si>
    <t>１：測定している
０：測定していない</t>
    <rPh sb="2" eb="4">
      <t>ソクテイ</t>
    </rPh>
    <rPh sb="11" eb="13">
      <t>ソクテイ</t>
    </rPh>
    <phoneticPr fontId="2"/>
  </si>
  <si>
    <t>照明器具（ベース照明及びスポット照明）について、高効率化しているか
（テナント資産の場合で高効率化していない場合は「０」を選択）</t>
    <rPh sb="0" eb="4">
      <t>ショウメイキグ</t>
    </rPh>
    <rPh sb="10" eb="11">
      <t>オヨ</t>
    </rPh>
    <rPh sb="16" eb="18">
      <t>ショウメイ</t>
    </rPh>
    <rPh sb="39" eb="41">
      <t>シサン</t>
    </rPh>
    <rPh sb="42" eb="44">
      <t>バアイ</t>
    </rPh>
    <rPh sb="45" eb="49">
      <t>コウコウリツカ</t>
    </rPh>
    <rPh sb="54" eb="56">
      <t>バアイ</t>
    </rPh>
    <rPh sb="61" eb="63">
      <t>センタク</t>
    </rPh>
    <phoneticPr fontId="2"/>
  </si>
  <si>
    <t>照明点灯時間の適正化</t>
    <rPh sb="0" eb="2">
      <t>ショウメイ</t>
    </rPh>
    <rPh sb="2" eb="4">
      <t>テントウ</t>
    </rPh>
    <rPh sb="4" eb="6">
      <t>ジカン</t>
    </rPh>
    <rPh sb="7" eb="10">
      <t>テキセイカ</t>
    </rPh>
    <phoneticPr fontId="2"/>
  </si>
  <si>
    <r>
      <t>営業時間に合わせた照明点灯時間の適正化を図るため、営業時間外の点灯・消灯時間に関する社内ルールを設定し、実施しているか。
（「１」又は「２」を選択した場合、具体的な取組内容を</t>
    </r>
    <r>
      <rPr>
        <u/>
        <sz val="11"/>
        <color indexed="10"/>
        <rFont val="HG丸ｺﾞｼｯｸM-PRO"/>
        <family val="3"/>
        <charset val="128"/>
      </rPr>
      <t>備考欄</t>
    </r>
    <r>
      <rPr>
        <sz val="11"/>
        <rFont val="HG丸ｺﾞｼｯｸM-PRO"/>
        <family val="3"/>
        <charset val="128"/>
      </rPr>
      <t>に記載）
[取組例]
・営業開始時間●分前まで点灯しない、営業時間終了●分までに全灯
・営業時間外の点灯はフロアを全灯せず、必要最小限のエリアに限定</t>
    </r>
    <rPh sb="0" eb="2">
      <t>エイギョウ</t>
    </rPh>
    <rPh sb="2" eb="4">
      <t>ジカン</t>
    </rPh>
    <rPh sb="5" eb="6">
      <t>ア</t>
    </rPh>
    <rPh sb="9" eb="11">
      <t>ショウメイ</t>
    </rPh>
    <rPh sb="11" eb="13">
      <t>テントウ</t>
    </rPh>
    <rPh sb="13" eb="15">
      <t>ジカン</t>
    </rPh>
    <rPh sb="16" eb="19">
      <t>テキセイカ</t>
    </rPh>
    <rPh sb="20" eb="21">
      <t>ハカ</t>
    </rPh>
    <rPh sb="25" eb="27">
      <t>エイギョウ</t>
    </rPh>
    <rPh sb="27" eb="29">
      <t>ジカン</t>
    </rPh>
    <rPh sb="29" eb="30">
      <t>ガイ</t>
    </rPh>
    <rPh sb="31" eb="33">
      <t>テントウ</t>
    </rPh>
    <rPh sb="34" eb="36">
      <t>ショウトウ</t>
    </rPh>
    <rPh sb="36" eb="38">
      <t>ジカン</t>
    </rPh>
    <rPh sb="39" eb="40">
      <t>カン</t>
    </rPh>
    <rPh sb="42" eb="44">
      <t>シャナイ</t>
    </rPh>
    <rPh sb="48" eb="50">
      <t>セッテイ</t>
    </rPh>
    <rPh sb="52" eb="54">
      <t>ジッシ</t>
    </rPh>
    <rPh sb="65" eb="66">
      <t>マタ</t>
    </rPh>
    <rPh sb="102" eb="104">
      <t>エイギョウ</t>
    </rPh>
    <rPh sb="104" eb="106">
      <t>カイシ</t>
    </rPh>
    <rPh sb="106" eb="108">
      <t>ジカン</t>
    </rPh>
    <rPh sb="109" eb="110">
      <t>フン</t>
    </rPh>
    <rPh sb="110" eb="111">
      <t>マエ</t>
    </rPh>
    <rPh sb="113" eb="115">
      <t>テントウ</t>
    </rPh>
    <rPh sb="119" eb="121">
      <t>エイギョウ</t>
    </rPh>
    <rPh sb="121" eb="123">
      <t>ジカン</t>
    </rPh>
    <rPh sb="123" eb="125">
      <t>シュウリョウ</t>
    </rPh>
    <rPh sb="126" eb="127">
      <t>フン</t>
    </rPh>
    <rPh sb="130" eb="131">
      <t>ゼン</t>
    </rPh>
    <rPh sb="131" eb="132">
      <t>トウ</t>
    </rPh>
    <rPh sb="134" eb="136">
      <t>エイギョウ</t>
    </rPh>
    <rPh sb="136" eb="138">
      <t>ジカン</t>
    </rPh>
    <rPh sb="138" eb="139">
      <t>ガイ</t>
    </rPh>
    <rPh sb="140" eb="142">
      <t>テントウ</t>
    </rPh>
    <rPh sb="147" eb="148">
      <t>ゼン</t>
    </rPh>
    <rPh sb="148" eb="149">
      <t>トウ</t>
    </rPh>
    <rPh sb="152" eb="154">
      <t>ヒツヨウ</t>
    </rPh>
    <rPh sb="154" eb="157">
      <t>サイショウゲン</t>
    </rPh>
    <rPh sb="162" eb="164">
      <t>ゲンテイ</t>
    </rPh>
    <phoneticPr fontId="2"/>
  </si>
  <si>
    <t>２：１に加えて、実施状況を把握している
１：設定している
０：設定していない
該当無：24時間営業</t>
    <rPh sb="4" eb="5">
      <t>クワ</t>
    </rPh>
    <rPh sb="8" eb="10">
      <t>ジッシ</t>
    </rPh>
    <rPh sb="10" eb="12">
      <t>ジョウキョウ</t>
    </rPh>
    <rPh sb="13" eb="15">
      <t>ハアク</t>
    </rPh>
    <rPh sb="22" eb="24">
      <t>セッテイ</t>
    </rPh>
    <rPh sb="31" eb="33">
      <t>セッテイ</t>
    </rPh>
    <rPh sb="39" eb="41">
      <t>ガイトウ</t>
    </rPh>
    <rPh sb="41" eb="42">
      <t>ナシ</t>
    </rPh>
    <rPh sb="45" eb="47">
      <t>ジカン</t>
    </rPh>
    <rPh sb="47" eb="49">
      <t>エイギョウ</t>
    </rPh>
    <phoneticPr fontId="2"/>
  </si>
  <si>
    <t>売場
（空調）</t>
    <rPh sb="0" eb="2">
      <t>ウリバ</t>
    </rPh>
    <rPh sb="4" eb="6">
      <t>クウチョウ</t>
    </rPh>
    <phoneticPr fontId="2"/>
  </si>
  <si>
    <t>室内温度の適正化</t>
    <rPh sb="0" eb="2">
      <t>シツナイ</t>
    </rPh>
    <rPh sb="2" eb="4">
      <t>オンド</t>
    </rPh>
    <rPh sb="5" eb="7">
      <t>テキセイ</t>
    </rPh>
    <rPh sb="7" eb="8">
      <t>カ</t>
    </rPh>
    <phoneticPr fontId="2"/>
  </si>
  <si>
    <t>夏季の「実際の室内温度」の適正化（26℃以上）を、どの程度の割合で実施しているか</t>
    <rPh sb="0" eb="2">
      <t>カキ</t>
    </rPh>
    <rPh sb="20" eb="22">
      <t>イジョウ</t>
    </rPh>
    <phoneticPr fontId="2"/>
  </si>
  <si>
    <t>３：100％
２：80％以上～100％未満
１：50％以上～80％未満
０：50％未満又は把握していない</t>
    <rPh sb="12" eb="14">
      <t>イジョウ</t>
    </rPh>
    <rPh sb="19" eb="21">
      <t>ミマン</t>
    </rPh>
    <rPh sb="33" eb="35">
      <t>ミマン</t>
    </rPh>
    <rPh sb="43" eb="44">
      <t>マタ</t>
    </rPh>
    <rPh sb="45" eb="47">
      <t>ハアク</t>
    </rPh>
    <phoneticPr fontId="2"/>
  </si>
  <si>
    <t>営業時間に合わせた季節ごとの空調起動時間の適正化と、空調運転時間の短縮を図るため、営業終了時間前（概ね５分以上前）に、空調を停止しているか</t>
    <rPh sb="0" eb="2">
      <t>エイギョウ</t>
    </rPh>
    <rPh sb="2" eb="4">
      <t>ジカン</t>
    </rPh>
    <rPh sb="5" eb="6">
      <t>ア</t>
    </rPh>
    <rPh sb="9" eb="11">
      <t>キセツ</t>
    </rPh>
    <rPh sb="14" eb="16">
      <t>クウチョウ</t>
    </rPh>
    <rPh sb="16" eb="18">
      <t>キドウ</t>
    </rPh>
    <rPh sb="18" eb="20">
      <t>ジカン</t>
    </rPh>
    <rPh sb="21" eb="24">
      <t>テキセイカ</t>
    </rPh>
    <rPh sb="26" eb="28">
      <t>クウチョウ</t>
    </rPh>
    <rPh sb="28" eb="30">
      <t>ウンテン</t>
    </rPh>
    <rPh sb="30" eb="32">
      <t>ジカン</t>
    </rPh>
    <rPh sb="33" eb="35">
      <t>タンシュク</t>
    </rPh>
    <rPh sb="36" eb="37">
      <t>ハカ</t>
    </rPh>
    <rPh sb="41" eb="43">
      <t>エイギョウ</t>
    </rPh>
    <rPh sb="43" eb="45">
      <t>シュウリョウ</t>
    </rPh>
    <rPh sb="45" eb="47">
      <t>ジカン</t>
    </rPh>
    <rPh sb="47" eb="48">
      <t>マエ</t>
    </rPh>
    <rPh sb="49" eb="50">
      <t>オオム</t>
    </rPh>
    <rPh sb="52" eb="53">
      <t>フン</t>
    </rPh>
    <rPh sb="53" eb="55">
      <t>イジョウ</t>
    </rPh>
    <rPh sb="55" eb="56">
      <t>マエ</t>
    </rPh>
    <rPh sb="59" eb="61">
      <t>クウチョウ</t>
    </rPh>
    <rPh sb="62" eb="64">
      <t>テイシ</t>
    </rPh>
    <phoneticPr fontId="2"/>
  </si>
  <si>
    <t>２：起動時間及び停止時間について実施
１：起動時間又は停止時間について実施
０：実施無し
該当無：24時間営業</t>
    <rPh sb="2" eb="4">
      <t>キドウ</t>
    </rPh>
    <rPh sb="4" eb="6">
      <t>ジカン</t>
    </rPh>
    <rPh sb="6" eb="7">
      <t>オヨ</t>
    </rPh>
    <rPh sb="8" eb="10">
      <t>テイシ</t>
    </rPh>
    <rPh sb="10" eb="12">
      <t>ジカン</t>
    </rPh>
    <rPh sb="16" eb="18">
      <t>ジッシ</t>
    </rPh>
    <rPh sb="21" eb="23">
      <t>キドウ</t>
    </rPh>
    <rPh sb="23" eb="25">
      <t>ジカン</t>
    </rPh>
    <rPh sb="25" eb="26">
      <t>マタ</t>
    </rPh>
    <rPh sb="27" eb="29">
      <t>テイシ</t>
    </rPh>
    <rPh sb="29" eb="31">
      <t>ジカン</t>
    </rPh>
    <rPh sb="35" eb="37">
      <t>ジッシ</t>
    </rPh>
    <rPh sb="40" eb="42">
      <t>ジッシ</t>
    </rPh>
    <rPh sb="42" eb="43">
      <t>ナ</t>
    </rPh>
    <rPh sb="45" eb="47">
      <t>ガイトウ</t>
    </rPh>
    <rPh sb="47" eb="48">
      <t>ナシ</t>
    </rPh>
    <rPh sb="51" eb="53">
      <t>ジカン</t>
    </rPh>
    <rPh sb="53" eb="55">
      <t>エイギョウ</t>
    </rPh>
    <phoneticPr fontId="2"/>
  </si>
  <si>
    <t>売場
（その他）</t>
    <rPh sb="0" eb="2">
      <t>ウリバ</t>
    </rPh>
    <rPh sb="6" eb="7">
      <t>タ</t>
    </rPh>
    <phoneticPr fontId="2"/>
  </si>
  <si>
    <t>トイレ</t>
    <phoneticPr fontId="2"/>
  </si>
  <si>
    <t>洗浄便座暖房の夏季停止を実施しているか
（オーナー資産の場合は、協力しているか）</t>
    <rPh sb="12" eb="14">
      <t>ジッシ</t>
    </rPh>
    <rPh sb="25" eb="27">
      <t>シサン</t>
    </rPh>
    <rPh sb="28" eb="30">
      <t>バアイ</t>
    </rPh>
    <rPh sb="32" eb="34">
      <t>キョウリョク</t>
    </rPh>
    <phoneticPr fontId="2"/>
  </si>
  <si>
    <t>２：実施（協力している）
１：実施していないが、オーナーに提案
０：実施無し
該当無：設置していない</t>
    <rPh sb="2" eb="4">
      <t>ジッシ</t>
    </rPh>
    <rPh sb="5" eb="7">
      <t>キョウリョク</t>
    </rPh>
    <rPh sb="15" eb="17">
      <t>ジッシ</t>
    </rPh>
    <rPh sb="29" eb="31">
      <t>テイアン</t>
    </rPh>
    <rPh sb="34" eb="36">
      <t>ジッシ</t>
    </rPh>
    <rPh sb="36" eb="37">
      <t>ナ</t>
    </rPh>
    <phoneticPr fontId="2"/>
  </si>
  <si>
    <t>トイレのハンドドライヤーを停止しているか
（オーナー資産の場合は、協力しているか）</t>
    <phoneticPr fontId="2"/>
  </si>
  <si>
    <t>３：完全に停止（協力している）
２：温風を停止、送風のみ稼動（協力している）
１：停止していないが、オーナーに提案
０：実施無し
該当無：設置していない</t>
    <rPh sb="8" eb="10">
      <t>キョウリョク</t>
    </rPh>
    <rPh sb="55" eb="57">
      <t>テイアン</t>
    </rPh>
    <rPh sb="60" eb="62">
      <t>ジッシ</t>
    </rPh>
    <rPh sb="62" eb="63">
      <t>ナ</t>
    </rPh>
    <phoneticPr fontId="2"/>
  </si>
  <si>
    <t>自動販売機</t>
    <rPh sb="0" eb="2">
      <t>ジドウ</t>
    </rPh>
    <rPh sb="2" eb="5">
      <t>ハンバイキ</t>
    </rPh>
    <phoneticPr fontId="2"/>
  </si>
  <si>
    <t>省エネ自動販売機又は自動販売機の利用時間を反映した運転の停止などスケジュール制御が、自動販売機全台数に対して、どの程度導入しているか</t>
    <rPh sb="47" eb="48">
      <t>ゼン</t>
    </rPh>
    <rPh sb="48" eb="49">
      <t>ダイ</t>
    </rPh>
    <rPh sb="49" eb="50">
      <t>スウ</t>
    </rPh>
    <phoneticPr fontId="2"/>
  </si>
  <si>
    <t>２：全台数導入
１：一部導入
０：導入されていない
該当無：設置していない</t>
    <rPh sb="2" eb="3">
      <t>ゼン</t>
    </rPh>
    <rPh sb="3" eb="4">
      <t>ダイ</t>
    </rPh>
    <rPh sb="4" eb="5">
      <t>スウ</t>
    </rPh>
    <rPh sb="26" eb="28">
      <t>ガイトウ</t>
    </rPh>
    <rPh sb="28" eb="29">
      <t>ナシ</t>
    </rPh>
    <rPh sb="30" eb="32">
      <t>セッチ</t>
    </rPh>
    <phoneticPr fontId="2"/>
  </si>
  <si>
    <r>
      <t>売場における省エネ対策について、お客様への協力を呼びかけているか
（「１」を選択した場合、具体的な取組内容を</t>
    </r>
    <r>
      <rPr>
        <u/>
        <sz val="11"/>
        <color indexed="10"/>
        <rFont val="HG丸ｺﾞｼｯｸM-PRO"/>
        <family val="3"/>
        <charset val="128"/>
      </rPr>
      <t>備考欄</t>
    </r>
    <r>
      <rPr>
        <sz val="11"/>
        <rFont val="HG丸ｺﾞｼｯｸM-PRO"/>
        <family val="3"/>
        <charset val="128"/>
      </rPr>
      <t>に記載）
[取組例]
・快適性を損なわない範囲で共用部の間引きを行っており、通路の明るさについてお客様に分かるように案内している
・節電の経験を踏まえて、空調の設定温度の緩和を行っており、継続してお客様への理解を求めている
・入口にポスターを貼りドアを締め切ったままにするなどして、節電の意識啓発を図っている</t>
    </r>
    <rPh sb="0" eb="2">
      <t>ウリバ</t>
    </rPh>
    <rPh sb="6" eb="7">
      <t>ショウ</t>
    </rPh>
    <rPh sb="9" eb="11">
      <t>タイサク</t>
    </rPh>
    <rPh sb="17" eb="19">
      <t>キャクサマ</t>
    </rPh>
    <rPh sb="21" eb="23">
      <t>キョウリョク</t>
    </rPh>
    <rPh sb="24" eb="25">
      <t>ヨ</t>
    </rPh>
    <rPh sb="38" eb="40">
      <t>センタク</t>
    </rPh>
    <rPh sb="42" eb="44">
      <t>バアイ</t>
    </rPh>
    <rPh sb="45" eb="48">
      <t>グタイテキ</t>
    </rPh>
    <rPh sb="49" eb="51">
      <t>トリクミ</t>
    </rPh>
    <rPh sb="51" eb="53">
      <t>ナイヨウ</t>
    </rPh>
    <rPh sb="54" eb="56">
      <t>ビコウ</t>
    </rPh>
    <rPh sb="56" eb="57">
      <t>ラン</t>
    </rPh>
    <rPh sb="58" eb="60">
      <t>キサイ</t>
    </rPh>
    <rPh sb="63" eb="65">
      <t>トリクミ</t>
    </rPh>
    <rPh sb="65" eb="66">
      <t>レイ</t>
    </rPh>
    <rPh sb="69" eb="72">
      <t>カイテキセイ</t>
    </rPh>
    <rPh sb="73" eb="74">
      <t>ソコ</t>
    </rPh>
    <rPh sb="78" eb="80">
      <t>ハンイ</t>
    </rPh>
    <rPh sb="81" eb="83">
      <t>キョウヨウ</t>
    </rPh>
    <rPh sb="83" eb="84">
      <t>ブ</t>
    </rPh>
    <rPh sb="85" eb="87">
      <t>マビ</t>
    </rPh>
    <rPh sb="89" eb="90">
      <t>オコナ</t>
    </rPh>
    <rPh sb="95" eb="97">
      <t>ツウロ</t>
    </rPh>
    <rPh sb="98" eb="99">
      <t>アカ</t>
    </rPh>
    <rPh sb="106" eb="108">
      <t>キャクサマ</t>
    </rPh>
    <rPh sb="109" eb="110">
      <t>ワ</t>
    </rPh>
    <rPh sb="115" eb="117">
      <t>アンナイ</t>
    </rPh>
    <rPh sb="123" eb="125">
      <t>セツデン</t>
    </rPh>
    <rPh sb="126" eb="128">
      <t>ケイケン</t>
    </rPh>
    <rPh sb="129" eb="130">
      <t>フ</t>
    </rPh>
    <rPh sb="134" eb="136">
      <t>クウチョウ</t>
    </rPh>
    <rPh sb="137" eb="139">
      <t>セッテイ</t>
    </rPh>
    <rPh sb="139" eb="141">
      <t>オンド</t>
    </rPh>
    <rPh sb="142" eb="144">
      <t>カンワ</t>
    </rPh>
    <rPh sb="145" eb="146">
      <t>オコナ</t>
    </rPh>
    <rPh sb="151" eb="153">
      <t>ケイゾク</t>
    </rPh>
    <rPh sb="156" eb="158">
      <t>キャクサマ</t>
    </rPh>
    <rPh sb="160" eb="162">
      <t>リカイ</t>
    </rPh>
    <rPh sb="163" eb="164">
      <t>モト</t>
    </rPh>
    <rPh sb="170" eb="172">
      <t>イリグチ</t>
    </rPh>
    <rPh sb="178" eb="179">
      <t>ハ</t>
    </rPh>
    <rPh sb="183" eb="184">
      <t>シ</t>
    </rPh>
    <rPh sb="185" eb="186">
      <t>キ</t>
    </rPh>
    <rPh sb="198" eb="200">
      <t>セツデン</t>
    </rPh>
    <rPh sb="201" eb="203">
      <t>イシキ</t>
    </rPh>
    <rPh sb="203" eb="205">
      <t>ケイハツ</t>
    </rPh>
    <rPh sb="206" eb="207">
      <t>ハカ</t>
    </rPh>
    <phoneticPr fontId="2"/>
  </si>
  <si>
    <t>１：左記例に挙げているような省エネ対策を行い、お客様への協力も呼びかけている
０：実施無し</t>
    <rPh sb="2" eb="4">
      <t>サキ</t>
    </rPh>
    <rPh sb="4" eb="5">
      <t>レイ</t>
    </rPh>
    <rPh sb="6" eb="7">
      <t>ア</t>
    </rPh>
    <rPh sb="14" eb="15">
      <t>ショウ</t>
    </rPh>
    <rPh sb="17" eb="19">
      <t>タイサク</t>
    </rPh>
    <rPh sb="20" eb="21">
      <t>オコナ</t>
    </rPh>
    <rPh sb="24" eb="26">
      <t>キャクサマ</t>
    </rPh>
    <rPh sb="28" eb="30">
      <t>キョウリョク</t>
    </rPh>
    <rPh sb="31" eb="32">
      <t>ヨ</t>
    </rPh>
    <rPh sb="41" eb="43">
      <t>ジッシ</t>
    </rPh>
    <rPh sb="43" eb="44">
      <t>ナ</t>
    </rPh>
    <phoneticPr fontId="2"/>
  </si>
  <si>
    <t>売場の主な部門</t>
    <rPh sb="0" eb="2">
      <t>ウリバ</t>
    </rPh>
    <rPh sb="3" eb="4">
      <t>オモ</t>
    </rPh>
    <rPh sb="5" eb="7">
      <t>ブモン</t>
    </rPh>
    <phoneticPr fontId="2"/>
  </si>
  <si>
    <t>以下、その他の取組についてお答えください</t>
    <rPh sb="5" eb="6">
      <t>タ</t>
    </rPh>
    <rPh sb="7" eb="9">
      <t>トリクミ</t>
    </rPh>
    <phoneticPr fontId="2"/>
  </si>
  <si>
    <t>以下、売場に食料品部門、飲食部門又は該当設備がある場合はNo.27～30までお答えください（全てない場合は、右で「×」を選択してください）</t>
    <rPh sb="18" eb="20">
      <t>ガイトウ</t>
    </rPh>
    <phoneticPr fontId="2"/>
  </si>
  <si>
    <t>ショーケース</t>
    <phoneticPr fontId="2"/>
  </si>
  <si>
    <t>高効率ショーケースを採用しているか
[例]
・インバータ方式・トップフード照明・反射板の利用・LED化　など</t>
    <rPh sb="0" eb="3">
      <t>コウコウリツ</t>
    </rPh>
    <rPh sb="10" eb="12">
      <t>サイヨウ</t>
    </rPh>
    <rPh sb="19" eb="20">
      <t>レイ</t>
    </rPh>
    <rPh sb="28" eb="30">
      <t>ホウシキ</t>
    </rPh>
    <phoneticPr fontId="2"/>
  </si>
  <si>
    <r>
      <t>２：概ね全て採用している
１：一部採用している
０：採用していない又は把握していない
該当無：</t>
    </r>
    <r>
      <rPr>
        <sz val="11"/>
        <rFont val="HG丸ｺﾞｼｯｸM-PRO"/>
        <family val="3"/>
        <charset val="128"/>
      </rPr>
      <t>該当設備無し</t>
    </r>
    <rPh sb="2" eb="3">
      <t>オオム</t>
    </rPh>
    <rPh sb="4" eb="5">
      <t>スベ</t>
    </rPh>
    <rPh sb="6" eb="8">
      <t>サイヨウ</t>
    </rPh>
    <rPh sb="15" eb="17">
      <t>イチブ</t>
    </rPh>
    <rPh sb="17" eb="19">
      <t>サイヨウ</t>
    </rPh>
    <rPh sb="26" eb="28">
      <t>サイヨウ</t>
    </rPh>
    <rPh sb="33" eb="34">
      <t>マタ</t>
    </rPh>
    <rPh sb="35" eb="37">
      <t>ハアク</t>
    </rPh>
    <phoneticPr fontId="2"/>
  </si>
  <si>
    <t>その他売場部門</t>
    <rPh sb="2" eb="3">
      <t>ホカ</t>
    </rPh>
    <rPh sb="3" eb="5">
      <t>ウリバ</t>
    </rPh>
    <rPh sb="5" eb="7">
      <t>ブモン</t>
    </rPh>
    <phoneticPr fontId="2"/>
  </si>
  <si>
    <t>冷凍・冷蔵設備</t>
    <rPh sb="0" eb="2">
      <t>レイトウ</t>
    </rPh>
    <rPh sb="3" eb="5">
      <t>レイゾウ</t>
    </rPh>
    <rPh sb="5" eb="7">
      <t>セツビ</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</si>
  <si>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</si>
  <si>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厨房機器</t>
    <rPh sb="0" eb="2">
      <t>チュウボウ</t>
    </rPh>
    <rPh sb="2" eb="4">
      <t>キキ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</si>
  <si>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</si>
  <si>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売場部門における省エネ対策</t>
  </si>
  <si>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color indexed="8"/>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</si>
  <si>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</si>
  <si>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</si>
  <si>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r>
      <t>以下、売場（物販・食料品・飲食）の主な部門について、</t>
    </r>
    <r>
      <rPr>
        <u/>
        <sz val="11"/>
        <color indexed="10"/>
        <rFont val="HG丸ｺﾞｼｯｸM-PRO"/>
        <family val="3"/>
        <charset val="128"/>
      </rPr>
      <t>昨年度</t>
    </r>
    <r>
      <rPr>
        <sz val="11"/>
        <color indexed="8"/>
        <rFont val="HG丸ｺﾞｼｯｸM-PRO"/>
        <family val="3"/>
        <charset val="128"/>
      </rPr>
      <t>の状況をお答えください（主な部門とは、上記で最も面積比率の高い部門のこと）</t>
    </r>
    <rPh sb="0" eb="2">
      <t>イカ</t>
    </rPh>
    <rPh sb="3" eb="5">
      <t>ウリバ</t>
    </rPh>
    <rPh sb="6" eb="8">
      <t>ブッパン</t>
    </rPh>
    <rPh sb="9" eb="12">
      <t>ショクリョウヒン</t>
    </rPh>
    <rPh sb="13" eb="15">
      <t>インショク</t>
    </rPh>
    <rPh sb="17" eb="18">
      <t>オモ</t>
    </rPh>
    <rPh sb="19" eb="21">
      <t>ブモン</t>
    </rPh>
    <rPh sb="26" eb="29">
      <t>サクネンド</t>
    </rPh>
    <rPh sb="30" eb="32">
      <t>ジョウキョウ</t>
    </rPh>
    <rPh sb="34" eb="35">
      <t>コタ</t>
    </rPh>
    <rPh sb="41" eb="42">
      <t>オモ</t>
    </rPh>
    <rPh sb="43" eb="45">
      <t>ブモン</t>
    </rPh>
    <rPh sb="48" eb="50">
      <t>ジョウキ</t>
    </rPh>
    <rPh sb="51" eb="52">
      <t>モット</t>
    </rPh>
    <rPh sb="53" eb="55">
      <t>メンセキ</t>
    </rPh>
    <rPh sb="55" eb="57">
      <t>ヒリツ</t>
    </rPh>
    <rPh sb="58" eb="59">
      <t>タカ</t>
    </rPh>
    <rPh sb="60" eb="62">
      <t>ブモン</t>
    </rPh>
    <phoneticPr fontId="2"/>
  </si>
  <si>
    <r>
      <t>以下、バックヤード・事務室（社員食堂等を含む）について、</t>
    </r>
    <r>
      <rPr>
        <u/>
        <sz val="11"/>
        <color rgb="FFFF0000"/>
        <rFont val="HG丸ｺﾞｼｯｸM-PRO"/>
        <family val="3"/>
        <charset val="128"/>
      </rPr>
      <t>昨年度</t>
    </r>
    <r>
      <rPr>
        <sz val="11"/>
        <color indexed="8"/>
        <rFont val="HG丸ｺﾞｼｯｸM-PRO"/>
        <family val="3"/>
        <charset val="128"/>
      </rPr>
      <t>の状況をお答えください</t>
    </r>
    <rPh sb="0" eb="2">
      <t>イカ</t>
    </rPh>
    <rPh sb="14" eb="16">
      <t>シャイン</t>
    </rPh>
    <rPh sb="16" eb="18">
      <t>ショクドウ</t>
    </rPh>
    <rPh sb="18" eb="19">
      <t>トウ</t>
    </rPh>
    <rPh sb="20" eb="21">
      <t>フク</t>
    </rPh>
    <rPh sb="28" eb="31">
      <t>サクネンド</t>
    </rPh>
    <rPh sb="32" eb="34">
      <t>ジョウキョウ</t>
    </rPh>
    <rPh sb="36" eb="37">
      <t>コタ</t>
    </rPh>
    <phoneticPr fontId="2"/>
  </si>
  <si>
    <r>
      <t>推進体制の整備について、</t>
    </r>
    <r>
      <rPr>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</si>
  <si>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t>kg/㎡・年</t>
    <phoneticPr fontId="74"/>
  </si>
  <si>
    <t>売場
（食料品・飲食関連設備）</t>
    <rPh sb="0" eb="2">
      <t>ウリバ</t>
    </rPh>
    <rPh sb="4" eb="7">
      <t>ショクリョウヒン</t>
    </rPh>
    <rPh sb="8" eb="10">
      <t>インショク</t>
    </rPh>
    <rPh sb="10" eb="12">
      <t>カンレン</t>
    </rPh>
    <rPh sb="12" eb="14">
      <t>セツビ</t>
    </rPh>
    <phoneticPr fontId="2"/>
  </si>
  <si>
    <t>点検表（商業版）</t>
    <rPh sb="0" eb="2">
      <t>テンケン</t>
    </rPh>
    <rPh sb="2" eb="3">
      <t>ヒョウ</t>
    </rPh>
    <rPh sb="4" eb="6">
      <t>ショウギョウ</t>
    </rPh>
    <rPh sb="6" eb="7">
      <t>バン</t>
    </rPh>
    <phoneticPr fontId="2"/>
  </si>
  <si>
    <t xml:space="preserve"> (1)　基準排出量等</t>
    <rPh sb="5" eb="10">
      <t>キジュンハイシュツリョウ</t>
    </rPh>
    <rPh sb="10" eb="11">
      <t>トウ</t>
    </rPh>
    <phoneticPr fontId="2"/>
  </si>
  <si>
    <t>基準年度</t>
    <rPh sb="0" eb="4">
      <t>キジュンネンド</t>
    </rPh>
    <phoneticPr fontId="2"/>
  </si>
  <si>
    <t>kg/㎡・年</t>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</si>
  <si>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</si>
  <si>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</si>
  <si>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</si>
  <si>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</si>
  <si>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4"/>
  </si>
  <si>
    <t>MJ/㎡・年</t>
    <phoneticPr fontId="74"/>
  </si>
  <si>
    <t>都市ガス</t>
    <phoneticPr fontId="2"/>
  </si>
  <si>
    <t>都市ガス</t>
    <rPh sb="0" eb="2">
      <t>トシ</t>
    </rPh>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</si>
  <si>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2"/>
  </si>
  <si>
    <t>その５</t>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</si>
  <si>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2"/>
  </si>
  <si>
    <t>　</t>
  </si>
  <si>
    <t>軽油</t>
    <phoneticPr fontId="2"/>
  </si>
  <si>
    <r>
      <t>千N</t>
    </r>
    <r>
      <rPr>
        <sz val="12"/>
        <rFont val="ＭＳ 明朝"/>
        <family val="1"/>
        <charset val="128"/>
      </rPr>
      <t>m</t>
    </r>
    <r>
      <rPr>
        <vertAlign val="superscript"/>
        <sz val="12"/>
        <rFont val="ＭＳ 明朝"/>
        <family val="1"/>
        <charset val="128"/>
      </rPr>
      <t>3</t>
    </r>
    <rPh sb="0" eb="1">
      <t>セン</t>
    </rPh>
    <phoneticPr fontId="2"/>
  </si>
  <si>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</si>
  <si>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</si>
  <si>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</si>
  <si>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</si>
  <si>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</si>
  <si>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</si>
  <si>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</si>
  <si>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事業所外から供給された再エネ熱（環境価値有）</t>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</si>
  <si>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</si>
  <si>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事業所外から供給された再エネ熱（環境価値無）</t>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</si>
  <si>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</si>
  <si>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事業所内で発電した再エネ熱（環境価値有）</t>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</si>
  <si>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</si>
  <si>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</si>
  <si>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</si>
  <si>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事業所外から供給された再エネ電気（環境価値有）</t>
    <phoneticPr fontId="2"/>
  </si>
  <si>
    <t>事業所外から供給された再エネ電気（環境価値無）</t>
    <rPh sb="11" eb="12">
      <t>サイ</t>
    </rPh>
    <rPh sb="14" eb="16">
      <t>デンキ</t>
    </rPh>
    <rPh sb="17" eb="21">
      <t>カンキョウカチ</t>
    </rPh>
    <rPh sb="21" eb="22">
      <t>ナシ</t>
    </rPh>
    <phoneticPr fontId="2"/>
  </si>
  <si>
    <t>事業所外から供給された再エネ電気（環境価値無）</t>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</si>
  <si>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</si>
  <si>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事業所内で発電した再エネ電気（環境価値有）</t>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</si>
  <si>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</si>
  <si>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事業所内で発電した再エネ電気（環境価値無）</t>
    <phoneticPr fontId="2"/>
  </si>
  <si>
    <t>PPA契約（ヴァーチャル）</t>
    <phoneticPr fontId="2"/>
  </si>
  <si>
    <t>青色セル：</t>
    <rPh sb="0" eb="2">
      <t>アオイロ</t>
    </rPh>
    <phoneticPr fontId="2"/>
  </si>
  <si>
    <t>都内平均を使用する。毎年更新</t>
    <rPh sb="0" eb="4">
      <t>トナイヘイキン</t>
    </rPh>
    <rPh sb="5" eb="7">
      <t>シヨウ</t>
    </rPh>
    <rPh sb="10" eb="12">
      <t>マイトシ</t>
    </rPh>
    <rPh sb="12" eb="14">
      <t>コウシン</t>
    </rPh>
    <phoneticPr fontId="2"/>
  </si>
  <si>
    <t>黄色セル：</t>
    <rPh sb="0" eb="2">
      <t>キイロ</t>
    </rPh>
    <phoneticPr fontId="2"/>
  </si>
  <si>
    <t>事業者が入力</t>
    <rPh sb="0" eb="3">
      <t>ジギョウシャ</t>
    </rPh>
    <rPh sb="4" eb="6">
      <t>ニュウリョク</t>
    </rPh>
    <phoneticPr fontId="2"/>
  </si>
  <si>
    <t>取組あり</t>
    <phoneticPr fontId="2"/>
  </si>
  <si>
    <t>取組なし</t>
    <phoneticPr fontId="2"/>
  </si>
  <si>
    <t>名称</t>
    <rPh sb="0" eb="2">
      <t>メイショウ</t>
    </rPh>
    <phoneticPr fontId="2"/>
  </si>
  <si>
    <t>開始年度</t>
    <rPh sb="0" eb="4">
      <t>カイシネンド</t>
    </rPh>
    <phoneticPr fontId="2"/>
  </si>
  <si>
    <t>今後の予定</t>
    <phoneticPr fontId="2"/>
  </si>
  <si>
    <t>備考欄</t>
    <phoneticPr fontId="2"/>
  </si>
  <si>
    <t>取組有無</t>
    <rPh sb="0" eb="2">
      <t>トリクミ</t>
    </rPh>
    <rPh sb="2" eb="4">
      <t>ウム</t>
    </rPh>
    <phoneticPr fontId="2"/>
  </si>
  <si>
    <t>今後の予定</t>
    <rPh sb="0" eb="2">
      <t>コンゴ</t>
    </rPh>
    <rPh sb="3" eb="5">
      <t>ヨテイ</t>
    </rPh>
    <phoneticPr fontId="2"/>
  </si>
  <si>
    <t>備考欄</t>
    <rPh sb="0" eb="3">
      <t>ビコウラン</t>
    </rPh>
    <phoneticPr fontId="2"/>
  </si>
  <si>
    <t>単位：MJ/㎡・年</t>
    <rPh sb="8" eb="9">
      <t>ネン</t>
    </rPh>
    <phoneticPr fontId="2"/>
  </si>
  <si>
    <t>延べ面積当たり
エネルギー使用量</t>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</si>
  <si>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</si>
  <si>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特定テナント等事業者としての排出実績が通年で２か年度分以上ある事業所が評価対象となります。</t>
    <phoneticPr fontId="2"/>
  </si>
  <si>
    <t>※算定対象年度の実績値を、正しく入力してください。</t>
    <rPh sb="8" eb="11">
      <t>ジッセキチ</t>
    </rPh>
    <phoneticPr fontId="2"/>
  </si>
  <si>
    <t>業種
（商業）
対策分類</t>
    <rPh sb="0" eb="2">
      <t>ギョウシュ</t>
    </rPh>
    <rPh sb="4" eb="6">
      <t>ショウギョウ</t>
    </rPh>
    <rPh sb="9" eb="11">
      <t>タイサク</t>
    </rPh>
    <rPh sb="11" eb="13">
      <t>ブンルイ</t>
    </rPh>
    <phoneticPr fontId="2"/>
  </si>
  <si>
    <t>■ 特定テナント評価シート</t>
  </si>
  <si>
    <t>小計</t>
    <rPh sb="0" eb="2">
      <t>ショウケイ</t>
    </rPh>
    <phoneticPr fontId="2"/>
  </si>
  <si>
    <t>熱</t>
    <phoneticPr fontId="2"/>
  </si>
  <si>
    <t>基準排出量</t>
    <rPh sb="0" eb="5">
      <t>キジュンハイシュツリョウ</t>
    </rPh>
    <phoneticPr fontId="2"/>
  </si>
  <si>
    <t>その他可燃性天然ガス</t>
    <phoneticPr fontId="2"/>
  </si>
  <si>
    <t>公表対象か</t>
    <rPh sb="0" eb="2">
      <t>コウヒョウ</t>
    </rPh>
    <rPh sb="2" eb="4">
      <t>タイショウ</t>
    </rPh>
    <phoneticPr fontId="2"/>
  </si>
  <si>
    <t>←公表対象の場合は１</t>
    <phoneticPr fontId="2"/>
  </si>
  <si>
    <t>■評価区分用</t>
    <rPh sb="1" eb="3">
      <t>ヒョウカ</t>
    </rPh>
    <rPh sb="3" eb="6">
      <t>クブンヨウ</t>
    </rPh>
    <phoneticPr fontId="2"/>
  </si>
  <si>
    <t>A以上</t>
    <phoneticPr fontId="2"/>
  </si>
  <si>
    <t>B・C</t>
    <phoneticPr fontId="2"/>
  </si>
  <si>
    <t>公表</t>
    <rPh sb="0" eb="2">
      <t>コウヒョウ</t>
    </rPh>
    <phoneticPr fontId="2"/>
  </si>
  <si>
    <t>※希望する場合は「１」</t>
    <rPh sb="1" eb="3">
      <t>キボウ</t>
    </rPh>
    <rPh sb="5" eb="7">
      <t>バアイ</t>
    </rPh>
    <phoneticPr fontId="2"/>
  </si>
  <si>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</si>
  <si>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</si>
  <si>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オープンデータカタログ、デジタルツインへの掲載を</t>
  </si>
  <si>
    <t>希望します。</t>
    <phoneticPr fontId="2"/>
  </si>
  <si>
    <t>希望しません。</t>
    <phoneticPr fontId="2"/>
  </si>
  <si>
    <t>点検表評価点</t>
    <rPh sb="0" eb="3">
      <t>テンケンヒョウ</t>
    </rPh>
    <rPh sb="3" eb="6">
      <t>ヒョウカテン</t>
    </rPh>
    <phoneticPr fontId="2"/>
  </si>
  <si>
    <t>公表対象か</t>
    <phoneticPr fontId="2"/>
  </si>
  <si>
    <t>希望します。</t>
  </si>
  <si>
    <r>
      <t>有</t>
    </r>
    <r>
      <rPr>
        <b/>
        <sz val="7"/>
        <color indexed="8"/>
        <rFont val="Meiryo UI"/>
        <family val="3"/>
        <charset val="128"/>
      </rPr>
      <t>（削減率0%以上10％未満とみなす）</t>
    </r>
    <rPh sb="0" eb="1">
      <t>アリ</t>
    </rPh>
    <rPh sb="2" eb="4">
      <t>サクゲン</t>
    </rPh>
    <rPh sb="4" eb="5">
      <t>リツ</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</si>
  <si>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・部署ごとのエネルギー使用量を見える化し、取組の優れた部署を表彰した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30" eb="132">
      <t>シヨウ</t>
    </rPh>
    <rPh sb="132" eb="133">
      <t>リョウ</t>
    </rPh>
    <rPh sb="134" eb="135">
      <t>ミ</t>
    </rPh>
    <rPh sb="137" eb="138">
      <t>カ</t>
    </rPh>
    <rPh sb="140" eb="142">
      <t>トリクミ</t>
    </rPh>
    <rPh sb="143" eb="144">
      <t>スグ</t>
    </rPh>
    <rPh sb="146" eb="148">
      <t>ブショ</t>
    </rPh>
    <rPh sb="149" eb="151">
      <t>ヒョウショウ</t>
    </rPh>
    <phoneticPr fontId="2"/>
  </si>
  <si>
    <t>その他</t>
    <rPh sb="2" eb="3">
      <t>タ</t>
    </rPh>
    <phoneticPr fontId="74"/>
  </si>
  <si>
    <t>2025（令和７）年度試行実施版</t>
    <rPh sb="5" eb="7">
      <t>レイワ</t>
    </rPh>
    <rPh sb="9" eb="11">
      <t>ネンド</t>
    </rPh>
    <rPh sb="11" eb="13">
      <t>シコウ</t>
    </rPh>
    <rPh sb="13" eb="15">
      <t>ジッシ</t>
    </rPh>
    <rPh sb="15" eb="16">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</si>
</sst>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_);[Red]\(0\)"/>
    <numFmt numFmtId="195" formatCode="#,##0_ ;[Red]\-#,##0\ "/>
  </numFmts>
  <fonts count="9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45"/>
      <color indexed="8"/>
      <name val="Arial Black"/>
      <family val="2"/>
    </font>
    <font>
      <sz val="11"/>
      <color rgb="FF000000"/>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8"/>
      <color rgb="FFFF0000"/>
      <name val="HG丸ｺﾞｼｯｸM-PRO"/>
      <family val="3"/>
      <charset val="128"/>
    </font>
    <font>
      <sz val="9"/>
      <color indexed="81"/>
      <name val="MS P ゴシック"/>
      <family val="3"/>
      <charset val="128"/>
    </font>
    <font>
      <b/>
      <sz val="9"/>
      <color indexed="81"/>
      <name val="MS P ゴシック"/>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b/>
      <sz val="8"/>
      <color indexed="8"/>
      <name val="HG丸ｺﾞｼｯｸM-PRO"/>
      <family val="3"/>
      <charset val="128"/>
    </font>
    <font>
      <sz val="10"/>
      <color indexed="8"/>
      <name val="ＭＳ Ｐゴシック"/>
      <family val="3"/>
      <charset val="128"/>
    </font>
    <font>
      <b/>
      <sz val="6"/>
      <color indexed="12"/>
      <name val="HG丸ｺﾞｼｯｸM-PRO"/>
      <family val="3"/>
      <charset val="128"/>
    </font>
    <font>
      <sz val="10"/>
      <color theme="1"/>
      <name val="ＭＳ 明朝"/>
      <family val="1"/>
      <charset val="128"/>
    </font>
    <font>
      <vertAlign val="superscript"/>
      <sz val="11"/>
      <name val="ＭＳ 明朝"/>
      <family val="1"/>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double">
        <color indexed="64"/>
      </right>
      <top style="double">
        <color indexed="64"/>
      </top>
      <bottom/>
      <diagonal style="thin">
        <color indexed="64"/>
      </diagonal>
    </border>
  </borders>
  <cellStyleXfs count="19">
    <xf numFmtId="0" fontId="0" fillId="0" borderId="0">
      <alignment vertical="center"/>
    </xf>
    <xf numFmtId="9" fontId="15"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4" fillId="0" borderId="0">
      <alignment vertical="center"/>
    </xf>
    <xf numFmtId="0" fontId="4" fillId="0" borderId="0"/>
    <xf numFmtId="0" fontId="1" fillId="0" borderId="0">
      <alignment vertical="center"/>
    </xf>
    <xf numFmtId="0" fontId="4" fillId="0" borderId="0"/>
    <xf numFmtId="0" fontId="4" fillId="0" borderId="0"/>
    <xf numFmtId="0" fontId="7" fillId="0" borderId="0">
      <alignmen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10">
    <xf numFmtId="0" fontId="0" fillId="0" borderId="0" xfId="0">
      <alignment vertical="center"/>
    </xf>
    <xf numFmtId="177" fontId="10" fillId="0" borderId="0" xfId="5" applyNumberFormat="1" applyFont="1" applyFill="1" applyProtection="1"/>
    <xf numFmtId="177" fontId="6" fillId="0" borderId="0" xfId="5" applyNumberFormat="1" applyFont="1" applyFill="1" applyAlignment="1" applyProtection="1">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41" fillId="0" borderId="0" xfId="0" applyFont="1" applyAlignment="1">
      <alignment horizontal="center" vertical="center"/>
    </xf>
    <xf numFmtId="38" fontId="42" fillId="0" borderId="0" xfId="4" applyFont="1" applyBorder="1" applyAlignment="1">
      <alignment horizontal="right" vertical="center"/>
    </xf>
    <xf numFmtId="0" fontId="42" fillId="0" borderId="0" xfId="0" applyFont="1" applyAlignment="1">
      <alignment horizontal="center" vertical="center"/>
    </xf>
    <xf numFmtId="0" fontId="35" fillId="0" borderId="5" xfId="0" applyFont="1" applyBorder="1">
      <alignment vertical="center"/>
    </xf>
    <xf numFmtId="0" fontId="35" fillId="0" borderId="1"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9" fillId="0" borderId="1" xfId="0" applyFont="1" applyBorder="1">
      <alignment vertical="center"/>
    </xf>
    <xf numFmtId="0" fontId="39" fillId="0" borderId="0" xfId="0" applyFont="1">
      <alignment vertical="center"/>
    </xf>
    <xf numFmtId="0" fontId="58"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xf>
    <xf numFmtId="0" fontId="36" fillId="0" borderId="0" xfId="0" applyFont="1">
      <alignment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38" fillId="0" borderId="0" xfId="0" applyFont="1">
      <alignment vertical="center"/>
    </xf>
    <xf numFmtId="0" fontId="27" fillId="3" borderId="12" xfId="0" applyFont="1" applyFill="1" applyBorder="1" applyAlignment="1" applyProtection="1">
      <alignment horizontal="center" vertical="center"/>
      <protection locked="0"/>
    </xf>
    <xf numFmtId="0" fontId="35" fillId="0" borderId="0" xfId="0" quotePrefix="1" applyFont="1">
      <alignment vertical="center"/>
    </xf>
    <xf numFmtId="0" fontId="58" fillId="0" borderId="0" xfId="0" applyFont="1">
      <alignment vertical="center"/>
    </xf>
    <xf numFmtId="0" fontId="4" fillId="2" borderId="12" xfId="15" applyFill="1" applyBorder="1"/>
    <xf numFmtId="0" fontId="4" fillId="0" borderId="12" xfId="15" applyBorder="1"/>
    <xf numFmtId="0" fontId="4" fillId="0" borderId="0" xfId="15"/>
    <xf numFmtId="0" fontId="27" fillId="13" borderId="178" xfId="0" applyFont="1" applyFill="1" applyBorder="1" applyAlignment="1" applyProtection="1">
      <alignment horizontal="left" vertical="center" wrapText="1"/>
      <protection locked="0"/>
    </xf>
    <xf numFmtId="0" fontId="75" fillId="13" borderId="70" xfId="0" applyFont="1" applyFill="1" applyBorder="1" applyAlignment="1" applyProtection="1">
      <alignment horizontal="center" vertical="center"/>
      <protection locked="0"/>
    </xf>
    <xf numFmtId="0" fontId="35" fillId="0" borderId="12" xfId="0" applyFont="1" applyBorder="1" applyAlignment="1">
      <alignment horizontal="center" vertical="center"/>
    </xf>
    <xf numFmtId="9" fontId="35" fillId="0" borderId="207" xfId="0" applyNumberFormat="1" applyFont="1" applyBorder="1">
      <alignment vertical="center"/>
    </xf>
    <xf numFmtId="9" fontId="35" fillId="0" borderId="208" xfId="0" applyNumberFormat="1" applyFont="1" applyBorder="1">
      <alignment vertical="center"/>
    </xf>
    <xf numFmtId="9" fontId="35" fillId="0" borderId="209" xfId="0" applyNumberFormat="1" applyFont="1" applyBorder="1" applyAlignment="1">
      <alignment horizontal="center" vertical="center"/>
    </xf>
    <xf numFmtId="9" fontId="35" fillId="0" borderId="210" xfId="0" applyNumberFormat="1" applyFont="1" applyBorder="1" applyAlignment="1">
      <alignment horizontal="center" vertical="center"/>
    </xf>
    <xf numFmtId="9" fontId="35" fillId="0" borderId="211" xfId="0" applyNumberFormat="1" applyFont="1" applyBorder="1">
      <alignment vertical="center"/>
    </xf>
    <xf numFmtId="9" fontId="35" fillId="0" borderId="212" xfId="0" applyNumberFormat="1" applyFont="1" applyBorder="1">
      <alignment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35" fillId="0" borderId="212" xfId="0" applyFont="1" applyBorder="1" applyAlignment="1">
      <alignment horizontal="center" vertical="center"/>
    </xf>
    <xf numFmtId="0" fontId="35" fillId="0" borderId="16" xfId="0" applyFont="1" applyBorder="1" applyAlignment="1">
      <alignment horizontal="center" vertical="center"/>
    </xf>
    <xf numFmtId="0" fontId="35" fillId="0" borderId="167"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lignment vertical="center"/>
    </xf>
    <xf numFmtId="0" fontId="35" fillId="0" borderId="211" xfId="0" applyFont="1" applyBorder="1">
      <alignment vertical="center"/>
    </xf>
    <xf numFmtId="0" fontId="35" fillId="0" borderId="212" xfId="0" applyFont="1" applyBorder="1">
      <alignment vertical="center"/>
    </xf>
    <xf numFmtId="0" fontId="35" fillId="0" borderId="15" xfId="0" applyFont="1" applyBorder="1" applyAlignment="1">
      <alignment horizontal="right" vertical="center"/>
    </xf>
    <xf numFmtId="0" fontId="43" fillId="0" borderId="0" xfId="0" applyFont="1">
      <alignment vertical="center"/>
    </xf>
    <xf numFmtId="177" fontId="10" fillId="0" borderId="0" xfId="18" applyNumberFormat="1" applyFont="1" applyFill="1" applyAlignment="1" applyProtection="1"/>
    <xf numFmtId="177" fontId="10" fillId="0" borderId="0" xfId="18" applyNumberFormat="1" applyFont="1" applyFill="1" applyAlignment="1" applyProtection="1">
      <alignment wrapText="1"/>
    </xf>
    <xf numFmtId="0" fontId="6" fillId="13" borderId="16" xfId="12" applyFont="1" applyFill="1" applyBorder="1" applyAlignment="1" applyProtection="1">
      <alignment horizontal="center" vertical="center"/>
      <protection locked="0"/>
    </xf>
    <xf numFmtId="185" fontId="6" fillId="13" borderId="12" xfId="12" applyNumberFormat="1" applyFont="1" applyFill="1" applyBorder="1" applyAlignment="1" applyProtection="1">
      <alignment horizontal="right" vertical="center"/>
      <protection locked="0"/>
    </xf>
    <xf numFmtId="0" fontId="6" fillId="13" borderId="12" xfId="12" applyFont="1" applyFill="1" applyBorder="1" applyAlignment="1" applyProtection="1">
      <alignment horizontal="center" vertical="center"/>
      <protection locked="0"/>
    </xf>
    <xf numFmtId="183" fontId="6" fillId="13" borderId="53" xfId="12" applyNumberFormat="1" applyFont="1" applyFill="1" applyBorder="1" applyAlignment="1" applyProtection="1">
      <alignment vertical="center"/>
      <protection locked="0"/>
    </xf>
    <xf numFmtId="176" fontId="6" fillId="13" borderId="14" xfId="12" applyNumberFormat="1" applyFont="1" applyFill="1" applyBorder="1" applyAlignment="1" applyProtection="1">
      <alignment vertical="center"/>
      <protection locked="0"/>
    </xf>
    <xf numFmtId="0" fontId="7" fillId="13" borderId="12"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shrinkToFit="1"/>
      <protection locked="0"/>
    </xf>
    <xf numFmtId="185" fontId="6" fillId="13" borderId="30" xfId="12" applyNumberFormat="1" applyFont="1" applyFill="1" applyBorder="1" applyAlignment="1" applyProtection="1">
      <alignment vertical="center"/>
      <protection locked="0"/>
    </xf>
    <xf numFmtId="0" fontId="6" fillId="13" borderId="4"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protection locked="0"/>
    </xf>
    <xf numFmtId="183" fontId="6" fillId="13" borderId="41" xfId="18" applyNumberFormat="1" applyFont="1" applyFill="1" applyBorder="1" applyAlignment="1" applyProtection="1">
      <alignment vertical="center"/>
      <protection locked="0"/>
    </xf>
    <xf numFmtId="185" fontId="6" fillId="13" borderId="12" xfId="12" applyNumberFormat="1" applyFont="1" applyFill="1" applyBorder="1" applyAlignment="1" applyProtection="1">
      <alignment vertical="center"/>
      <protection locked="0"/>
    </xf>
    <xf numFmtId="183" fontId="6" fillId="13" borderId="42" xfId="18" applyNumberFormat="1" applyFont="1" applyFill="1" applyBorder="1" applyAlignment="1" applyProtection="1">
      <alignment vertical="center"/>
      <protection locked="0"/>
    </xf>
    <xf numFmtId="185" fontId="6" fillId="13" borderId="57" xfId="12" applyNumberFormat="1" applyFont="1" applyFill="1" applyBorder="1" applyAlignment="1" applyProtection="1">
      <alignment vertical="center"/>
      <protection locked="0"/>
    </xf>
    <xf numFmtId="176" fontId="6" fillId="0" borderId="14" xfId="12" applyNumberFormat="1" applyFont="1" applyBorder="1" applyAlignment="1">
      <alignment vertical="center"/>
    </xf>
    <xf numFmtId="0" fontId="6" fillId="13" borderId="8" xfId="12" applyFont="1" applyFill="1" applyBorder="1" applyAlignment="1" applyProtection="1">
      <alignment horizontal="center" vertical="center" shrinkToFit="1"/>
      <protection locked="0"/>
    </xf>
    <xf numFmtId="185" fontId="6" fillId="13" borderId="24" xfId="12" applyNumberFormat="1" applyFont="1" applyFill="1" applyBorder="1" applyAlignment="1" applyProtection="1">
      <alignment vertical="center"/>
      <protection locked="0"/>
    </xf>
    <xf numFmtId="186" fontId="6" fillId="13" borderId="42" xfId="12" applyNumberFormat="1" applyFont="1" applyFill="1" applyBorder="1" applyAlignment="1" applyProtection="1">
      <alignment vertical="center"/>
      <protection locked="0"/>
    </xf>
    <xf numFmtId="183" fontId="6" fillId="0" borderId="41" xfId="18" applyNumberFormat="1" applyFont="1" applyFill="1" applyBorder="1" applyAlignment="1" applyProtection="1">
      <alignment horizontal="right" vertical="center"/>
    </xf>
    <xf numFmtId="183" fontId="6" fillId="0" borderId="42" xfId="18" applyNumberFormat="1" applyFont="1" applyFill="1" applyBorder="1" applyAlignment="1" applyProtection="1">
      <alignment horizontal="right" vertical="center"/>
    </xf>
    <xf numFmtId="185" fontId="6" fillId="0" borderId="19" xfId="12" applyNumberFormat="1" applyFont="1" applyBorder="1" applyAlignment="1">
      <alignment horizontal="right" vertical="center"/>
    </xf>
    <xf numFmtId="176" fontId="6" fillId="0" borderId="23" xfId="12" applyNumberFormat="1" applyFont="1" applyBorder="1" applyAlignment="1">
      <alignment vertical="center"/>
    </xf>
    <xf numFmtId="0" fontId="6" fillId="13" borderId="8" xfId="12" applyFont="1" applyFill="1" applyBorder="1" applyAlignment="1" applyProtection="1">
      <alignment horizontal="center" vertical="center"/>
      <protection locked="0"/>
    </xf>
    <xf numFmtId="185" fontId="6" fillId="13" borderId="24" xfId="12" applyNumberFormat="1" applyFont="1" applyFill="1" applyBorder="1" applyAlignment="1" applyProtection="1">
      <alignment horizontal="right" vertical="center"/>
      <protection locked="0"/>
    </xf>
    <xf numFmtId="0" fontId="35" fillId="0" borderId="2" xfId="0" applyFont="1" applyBorder="1" applyAlignment="1">
      <alignment horizontal="right" vertical="center"/>
    </xf>
    <xf numFmtId="0" fontId="35" fillId="0" borderId="4" xfId="0" applyFont="1" applyBorder="1" applyAlignment="1">
      <alignment horizontal="center" vertical="center"/>
    </xf>
    <xf numFmtId="0" fontId="35" fillId="0" borderId="5" xfId="0" applyFont="1" applyBorder="1" applyAlignment="1">
      <alignment horizontal="right" vertical="center"/>
    </xf>
    <xf numFmtId="18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83" fillId="0" borderId="1" xfId="0" applyFont="1" applyBorder="1" applyAlignment="1">
      <alignment horizontal="center" vertical="center"/>
    </xf>
    <xf numFmtId="0" fontId="35" fillId="0" borderId="6" xfId="0" applyFont="1" applyBorder="1" applyAlignment="1">
      <alignment horizontal="right" vertical="center"/>
    </xf>
    <xf numFmtId="0" fontId="35" fillId="0" borderId="8" xfId="0" applyFont="1" applyBorder="1" applyAlignment="1">
      <alignment horizontal="center" vertical="center"/>
    </xf>
    <xf numFmtId="0" fontId="35" fillId="0" borderId="12" xfId="0" applyFont="1" applyBorder="1">
      <alignment vertical="center"/>
    </xf>
    <xf numFmtId="38" fontId="35" fillId="0" borderId="16" xfId="0" applyNumberFormat="1" applyFont="1" applyBorder="1" applyAlignment="1">
      <alignment horizontal="center" vertical="center"/>
    </xf>
    <xf numFmtId="0" fontId="35" fillId="0" borderId="3" xfId="0" applyFont="1" applyBorder="1" applyAlignment="1">
      <alignment vertical="top" wrapText="1"/>
    </xf>
    <xf numFmtId="0" fontId="6" fillId="13" borderId="13" xfId="12" applyFont="1" applyFill="1" applyBorder="1" applyAlignment="1" applyProtection="1">
      <alignment horizontal="distributed" vertical="center"/>
      <protection locked="0"/>
    </xf>
    <xf numFmtId="0" fontId="6" fillId="15" borderId="13" xfId="12" applyFont="1" applyFill="1" applyBorder="1" applyAlignment="1">
      <alignment horizontal="distributed" vertical="center"/>
    </xf>
    <xf numFmtId="0" fontId="10" fillId="0" borderId="0" xfId="14" applyFont="1">
      <alignment vertical="center"/>
    </xf>
    <xf numFmtId="0" fontId="10" fillId="0" borderId="2" xfId="14" applyFont="1" applyBorder="1">
      <alignment vertical="center"/>
    </xf>
    <xf numFmtId="0" fontId="10" fillId="0" borderId="3" xfId="14" applyFont="1" applyBorder="1">
      <alignment vertical="center"/>
    </xf>
    <xf numFmtId="0" fontId="10" fillId="0" borderId="4" xfId="14" applyFont="1" applyBorder="1">
      <alignment vertical="center"/>
    </xf>
    <xf numFmtId="0" fontId="10" fillId="0" borderId="5" xfId="14" applyFont="1" applyBorder="1">
      <alignment vertical="center"/>
    </xf>
    <xf numFmtId="0" fontId="10" fillId="0" borderId="0" xfId="14" applyFont="1" applyAlignment="1">
      <alignment horizontal="left" vertical="top"/>
    </xf>
    <xf numFmtId="0" fontId="10" fillId="0" borderId="1" xfId="14" applyFont="1" applyBorder="1">
      <alignment vertical="center"/>
    </xf>
    <xf numFmtId="0" fontId="7" fillId="0" borderId="0" xfId="14">
      <alignment vertical="center"/>
    </xf>
    <xf numFmtId="0" fontId="10" fillId="0" borderId="0" xfId="14" applyFont="1" applyAlignment="1">
      <alignment vertical="center" shrinkToFit="1"/>
    </xf>
    <xf numFmtId="0" fontId="10" fillId="0" borderId="0" xfId="14" applyFont="1" applyAlignment="1">
      <alignment horizontal="distributed" vertical="center"/>
    </xf>
    <xf numFmtId="0" fontId="10" fillId="0" borderId="6" xfId="14" applyFont="1" applyBorder="1">
      <alignment vertical="center"/>
    </xf>
    <xf numFmtId="0" fontId="10" fillId="0" borderId="8" xfId="14" applyFont="1" applyBorder="1">
      <alignment vertical="center"/>
    </xf>
    <xf numFmtId="0" fontId="10" fillId="0" borderId="4" xfId="14" applyFont="1" applyBorder="1" applyAlignment="1">
      <alignment vertical="center" wrapText="1"/>
    </xf>
    <xf numFmtId="0" fontId="10" fillId="0" borderId="8" xfId="14" applyFont="1" applyBorder="1" applyAlignment="1">
      <alignment vertical="center" wrapText="1"/>
    </xf>
    <xf numFmtId="0" fontId="10" fillId="0" borderId="4" xfId="14" applyFont="1" applyBorder="1" applyAlignment="1">
      <alignment horizontal="left" vertical="center"/>
    </xf>
    <xf numFmtId="0" fontId="10" fillId="0" borderId="15" xfId="14" applyFont="1" applyBorder="1" applyAlignment="1">
      <alignment horizontal="left" vertical="center"/>
    </xf>
    <xf numFmtId="0" fontId="10" fillId="0" borderId="13" xfId="14" applyFont="1" applyBorder="1">
      <alignment vertical="center"/>
    </xf>
    <xf numFmtId="0" fontId="10" fillId="0" borderId="16" xfId="14" applyFont="1" applyBorder="1">
      <alignment vertical="center"/>
    </xf>
    <xf numFmtId="0" fontId="10" fillId="0" borderId="1" xfId="14" applyFont="1" applyBorder="1" applyAlignment="1">
      <alignment horizontal="left" vertical="center"/>
    </xf>
    <xf numFmtId="0" fontId="10" fillId="0" borderId="15" xfId="14" applyFont="1" applyBorder="1">
      <alignment vertical="center"/>
    </xf>
    <xf numFmtId="0" fontId="7" fillId="0" borderId="3" xfId="14" applyBorder="1">
      <alignment vertical="center"/>
    </xf>
    <xf numFmtId="0" fontId="7" fillId="0" borderId="3" xfId="14" applyBorder="1" applyAlignment="1">
      <alignment horizontal="distributed" vertical="center"/>
    </xf>
    <xf numFmtId="0" fontId="10" fillId="0" borderId="3" xfId="14" applyFont="1" applyBorder="1" applyAlignment="1">
      <alignment vertical="center" wrapText="1"/>
    </xf>
    <xf numFmtId="0" fontId="10" fillId="0" borderId="3" xfId="14" applyFont="1" applyBorder="1" applyAlignment="1">
      <alignment horizontal="center" vertical="center"/>
    </xf>
    <xf numFmtId="0" fontId="10" fillId="0" borderId="4" xfId="14" applyFont="1" applyBorder="1" applyAlignment="1">
      <alignment horizontal="center" vertical="center"/>
    </xf>
    <xf numFmtId="0" fontId="10" fillId="0" borderId="7" xfId="14" applyFont="1" applyBorder="1">
      <alignment vertical="center"/>
    </xf>
    <xf numFmtId="0" fontId="10" fillId="0" borderId="0" xfId="14" applyFont="1" applyAlignment="1">
      <alignment horizontal="right" vertical="center"/>
    </xf>
    <xf numFmtId="0" fontId="6" fillId="0" borderId="0" xfId="10" applyFont="1" applyAlignment="1">
      <alignment vertical="center"/>
    </xf>
    <xf numFmtId="0" fontId="6" fillId="0" borderId="2" xfId="10" applyFont="1" applyBorder="1" applyAlignment="1">
      <alignment vertical="center"/>
    </xf>
    <xf numFmtId="0" fontId="6" fillId="0" borderId="3" xfId="10" applyFont="1" applyBorder="1" applyAlignment="1">
      <alignment vertical="center"/>
    </xf>
    <xf numFmtId="0" fontId="6" fillId="0" borderId="4" xfId="10" applyFont="1" applyBorder="1" applyAlignment="1">
      <alignment vertical="center"/>
    </xf>
    <xf numFmtId="0" fontId="6" fillId="0" borderId="5" xfId="10" applyFont="1" applyBorder="1" applyAlignment="1">
      <alignment vertical="center"/>
    </xf>
    <xf numFmtId="0" fontId="6" fillId="0" borderId="1" xfId="10" applyFont="1" applyBorder="1" applyAlignment="1">
      <alignment vertical="center"/>
    </xf>
    <xf numFmtId="0" fontId="7" fillId="0" borderId="0" xfId="10" applyFont="1" applyAlignment="1">
      <alignment horizontal="right" vertical="center"/>
    </xf>
    <xf numFmtId="0" fontId="7" fillId="0" borderId="0" xfId="10" applyFont="1" applyAlignment="1">
      <alignment horizontal="left" vertical="center"/>
    </xf>
    <xf numFmtId="0" fontId="8" fillId="0" borderId="0" xfId="10" applyFont="1" applyAlignment="1">
      <alignment horizontal="center" vertical="center"/>
    </xf>
    <xf numFmtId="0" fontId="6" fillId="0" borderId="0" xfId="10" applyFont="1" applyAlignment="1">
      <alignment horizontal="left" vertical="center" wrapText="1"/>
    </xf>
    <xf numFmtId="0" fontId="24" fillId="0" borderId="0" xfId="10" applyFont="1" applyAlignment="1">
      <alignment vertical="center"/>
    </xf>
    <xf numFmtId="0" fontId="6" fillId="0" borderId="43" xfId="10" applyFont="1" applyBorder="1" applyAlignment="1">
      <alignment vertical="center"/>
    </xf>
    <xf numFmtId="187" fontId="6" fillId="0" borderId="0" xfId="10" applyNumberFormat="1" applyFont="1" applyAlignment="1">
      <alignment horizontal="center" vertical="center"/>
    </xf>
    <xf numFmtId="0" fontId="6" fillId="0" borderId="44" xfId="10" applyFont="1" applyBorder="1" applyAlignment="1">
      <alignment vertical="center"/>
    </xf>
    <xf numFmtId="0" fontId="6" fillId="0" borderId="45" xfId="10" applyFont="1" applyBorder="1" applyAlignment="1">
      <alignment vertical="center"/>
    </xf>
    <xf numFmtId="0" fontId="6" fillId="0" borderId="0" xfId="10" applyFont="1" applyAlignment="1">
      <alignment horizontal="left" vertical="center"/>
    </xf>
    <xf numFmtId="0" fontId="6" fillId="0" borderId="36" xfId="10" applyFont="1" applyBorder="1" applyAlignment="1">
      <alignment vertical="center" wrapText="1"/>
    </xf>
    <xf numFmtId="0" fontId="6" fillId="0" borderId="37" xfId="10" applyFont="1" applyBorder="1" applyAlignment="1">
      <alignment vertical="center" wrapText="1"/>
    </xf>
    <xf numFmtId="187" fontId="6" fillId="0" borderId="0" xfId="10" applyNumberFormat="1" applyFont="1" applyAlignment="1">
      <alignment horizontal="left" vertical="center"/>
    </xf>
    <xf numFmtId="0" fontId="6" fillId="0" borderId="15" xfId="10" applyFont="1" applyBorder="1" applyAlignment="1">
      <alignment vertical="center"/>
    </xf>
    <xf numFmtId="0" fontId="6" fillId="0" borderId="16" xfId="10" applyFont="1" applyBorder="1" applyAlignment="1">
      <alignment vertical="center"/>
    </xf>
    <xf numFmtId="0" fontId="20" fillId="0" borderId="0" xfId="0" applyFont="1" applyAlignment="1">
      <alignment horizontal="center" vertical="center" shrinkToFit="1"/>
    </xf>
    <xf numFmtId="0" fontId="6" fillId="0" borderId="0" xfId="0" applyFont="1" applyAlignment="1">
      <alignment horizontal="center" vertical="center"/>
    </xf>
    <xf numFmtId="0" fontId="6" fillId="0" borderId="0" xfId="10" applyFont="1" applyAlignment="1">
      <alignment horizontal="center" vertical="center"/>
    </xf>
    <xf numFmtId="0" fontId="6" fillId="0" borderId="2" xfId="10" applyFont="1" applyBorder="1" applyAlignment="1">
      <alignment vertical="center" wrapText="1"/>
    </xf>
    <xf numFmtId="0" fontId="10" fillId="0" borderId="4" xfId="10" applyFont="1" applyBorder="1"/>
    <xf numFmtId="0" fontId="7" fillId="0" borderId="0" xfId="10" applyFont="1" applyAlignment="1">
      <alignment horizontal="center" vertical="center"/>
    </xf>
    <xf numFmtId="0" fontId="6" fillId="0" borderId="15" xfId="10" applyFont="1" applyBorder="1" applyAlignment="1">
      <alignment vertical="center" shrinkToFit="1"/>
    </xf>
    <xf numFmtId="0" fontId="6" fillId="0" borderId="16" xfId="10" applyFont="1" applyBorder="1" applyAlignment="1">
      <alignment vertical="center" shrinkToFit="1"/>
    </xf>
    <xf numFmtId="0" fontId="10" fillId="0" borderId="16" xfId="10" applyFont="1" applyBorder="1" applyAlignment="1">
      <alignment vertical="center" shrinkToFit="1"/>
    </xf>
    <xf numFmtId="0" fontId="6" fillId="0" borderId="6" xfId="10" applyFont="1" applyBorder="1" applyAlignment="1">
      <alignment vertical="center"/>
    </xf>
    <xf numFmtId="0" fontId="6" fillId="0" borderId="7" xfId="10" applyFont="1" applyBorder="1" applyAlignment="1">
      <alignment vertical="center"/>
    </xf>
    <xf numFmtId="0" fontId="6" fillId="0" borderId="8" xfId="10" applyFont="1" applyBorder="1" applyAlignment="1">
      <alignment vertical="center"/>
    </xf>
    <xf numFmtId="0" fontId="6" fillId="0" borderId="36" xfId="10" applyFont="1" applyBorder="1" applyAlignment="1">
      <alignment vertical="center"/>
    </xf>
    <xf numFmtId="0" fontId="6" fillId="0" borderId="37" xfId="10" applyFont="1" applyBorder="1" applyAlignment="1">
      <alignment vertical="center"/>
    </xf>
    <xf numFmtId="0" fontId="9" fillId="0" borderId="0" xfId="10" applyFont="1" applyAlignment="1">
      <alignment horizontal="left" vertical="center" wrapText="1"/>
    </xf>
    <xf numFmtId="0" fontId="6" fillId="0" borderId="55" xfId="10" applyFont="1" applyBorder="1" applyAlignment="1">
      <alignment vertical="center"/>
    </xf>
    <xf numFmtId="0" fontId="6" fillId="0" borderId="6" xfId="10" applyFont="1" applyBorder="1" applyAlignment="1">
      <alignment vertical="center" shrinkToFit="1"/>
    </xf>
    <xf numFmtId="0" fontId="6" fillId="0" borderId="38" xfId="10" applyFont="1" applyBorder="1" applyAlignment="1">
      <alignment vertical="center" shrinkToFit="1"/>
    </xf>
    <xf numFmtId="0" fontId="6" fillId="0" borderId="0" xfId="10" applyFont="1" applyAlignment="1">
      <alignment horizontal="distributed" vertical="center"/>
    </xf>
    <xf numFmtId="0" fontId="6" fillId="0" borderId="0" xfId="10" applyFont="1" applyAlignment="1">
      <alignment vertical="center" shrinkToFit="1"/>
    </xf>
    <xf numFmtId="0" fontId="9" fillId="0" borderId="0" xfId="10" applyFont="1" applyAlignment="1">
      <alignment horizontal="distributed" vertical="center" wrapText="1" shrinkToFit="1"/>
    </xf>
    <xf numFmtId="0" fontId="9" fillId="0" borderId="0" xfId="10" applyFont="1" applyAlignment="1">
      <alignment horizontal="distributed" vertical="center" shrinkToFit="1"/>
    </xf>
    <xf numFmtId="176" fontId="6" fillId="0" borderId="0" xfId="10" applyNumberFormat="1" applyFont="1" applyAlignment="1">
      <alignment horizontal="right" vertical="center" shrinkToFit="1"/>
    </xf>
    <xf numFmtId="176" fontId="6" fillId="0" borderId="0" xfId="10" applyNumberFormat="1" applyFont="1" applyAlignment="1">
      <alignment horizontal="left" vertical="center"/>
    </xf>
    <xf numFmtId="0" fontId="13" fillId="0" borderId="0" xfId="10" applyFont="1" applyAlignment="1">
      <alignment horizontal="left" vertical="center"/>
    </xf>
    <xf numFmtId="0" fontId="11" fillId="0" borderId="0" xfId="10" applyFont="1" applyAlignment="1">
      <alignment horizontal="right" vertical="center"/>
    </xf>
    <xf numFmtId="0" fontId="6" fillId="0" borderId="5" xfId="10" applyFont="1" applyBorder="1"/>
    <xf numFmtId="0" fontId="6" fillId="0" borderId="0" xfId="10" applyFont="1"/>
    <xf numFmtId="0" fontId="6" fillId="0" borderId="1" xfId="10" applyFont="1" applyBorder="1" applyAlignment="1">
      <alignment vertical="center" wrapText="1"/>
    </xf>
    <xf numFmtId="0" fontId="6" fillId="0" borderId="0" xfId="10" applyFont="1" applyAlignment="1">
      <alignment vertical="center" wrapText="1"/>
    </xf>
    <xf numFmtId="0" fontId="6" fillId="0" borderId="48" xfId="10" applyFont="1" applyBorder="1" applyAlignment="1">
      <alignment vertical="center" wrapText="1"/>
    </xf>
    <xf numFmtId="0" fontId="6" fillId="0" borderId="49" xfId="10" applyFont="1" applyBorder="1" applyAlignment="1">
      <alignment vertical="center"/>
    </xf>
    <xf numFmtId="0" fontId="6" fillId="0" borderId="0" xfId="10" applyFont="1" applyAlignment="1">
      <alignment horizontal="center" vertical="center" wrapText="1"/>
    </xf>
    <xf numFmtId="0" fontId="9" fillId="0" borderId="48" xfId="10" applyFont="1" applyBorder="1" applyAlignment="1">
      <alignment vertical="center" wrapText="1"/>
    </xf>
    <xf numFmtId="0" fontId="9" fillId="0" borderId="49" xfId="10" applyFont="1" applyBorder="1" applyAlignment="1">
      <alignment vertical="center" wrapText="1"/>
    </xf>
    <xf numFmtId="0" fontId="9" fillId="0" borderId="50" xfId="10" applyFont="1" applyBorder="1" applyAlignment="1">
      <alignment vertical="center" wrapText="1"/>
    </xf>
    <xf numFmtId="0" fontId="9" fillId="0" borderId="51" xfId="10" applyFont="1" applyBorder="1" applyAlignment="1">
      <alignment vertical="center" wrapText="1"/>
    </xf>
    <xf numFmtId="0" fontId="9" fillId="0" borderId="55" xfId="10" applyFont="1" applyBorder="1" applyAlignment="1">
      <alignment vertical="center" textRotation="255" wrapText="1"/>
    </xf>
    <xf numFmtId="0" fontId="9" fillId="0" borderId="0" xfId="10" applyFont="1" applyAlignment="1">
      <alignment vertical="center" textRotation="255" wrapText="1"/>
    </xf>
    <xf numFmtId="0" fontId="9" fillId="0" borderId="1" xfId="10" applyFont="1" applyBorder="1" applyAlignment="1">
      <alignment vertical="center" textRotation="255" wrapText="1"/>
    </xf>
    <xf numFmtId="0" fontId="9" fillId="0" borderId="15" xfId="10" applyFont="1" applyBorder="1" applyAlignment="1">
      <alignment vertical="center" wrapText="1"/>
    </xf>
    <xf numFmtId="0" fontId="9" fillId="0" borderId="16" xfId="10" applyFont="1" applyBorder="1" applyAlignment="1">
      <alignment vertical="center" wrapText="1"/>
    </xf>
    <xf numFmtId="0" fontId="9" fillId="0" borderId="50" xfId="10" applyFont="1" applyBorder="1" applyAlignment="1">
      <alignment vertical="center" textRotation="255" wrapText="1"/>
    </xf>
    <xf numFmtId="0" fontId="9" fillId="0" borderId="43" xfId="10" applyFont="1" applyBorder="1" applyAlignment="1">
      <alignment vertical="center" textRotation="255" wrapText="1"/>
    </xf>
    <xf numFmtId="0" fontId="9" fillId="0" borderId="51" xfId="10" applyFont="1" applyBorder="1" applyAlignment="1">
      <alignment vertical="center" textRotation="255" wrapText="1"/>
    </xf>
    <xf numFmtId="0" fontId="9" fillId="0" borderId="38" xfId="10" applyFont="1" applyBorder="1" applyAlignment="1">
      <alignment vertical="center" wrapText="1"/>
    </xf>
    <xf numFmtId="0" fontId="9" fillId="0" borderId="37" xfId="10" applyFont="1" applyBorder="1" applyAlignment="1">
      <alignment vertical="center" wrapText="1"/>
    </xf>
    <xf numFmtId="0" fontId="6" fillId="0" borderId="0" xfId="10" applyFont="1" applyAlignment="1">
      <alignment horizontal="left" vertical="top"/>
    </xf>
    <xf numFmtId="0" fontId="19" fillId="0" borderId="10" xfId="0" applyFont="1" applyBorder="1" applyAlignment="1"/>
    <xf numFmtId="0" fontId="0" fillId="0" borderId="10" xfId="0" applyBorder="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6" fillId="0" borderId="0" xfId="10" applyFont="1" applyAlignment="1">
      <alignment horizontal="right" vertical="center"/>
    </xf>
    <xf numFmtId="0" fontId="6" fillId="0" borderId="0" xfId="10" applyFont="1" applyAlignment="1">
      <alignment horizontal="left" vertical="center" wrapText="1" indent="1"/>
    </xf>
    <xf numFmtId="0" fontId="6" fillId="0" borderId="3" xfId="10" applyFont="1" applyBorder="1" applyAlignment="1">
      <alignment horizontal="left" vertical="center" wrapText="1" indent="1"/>
    </xf>
    <xf numFmtId="0" fontId="6" fillId="0" borderId="4" xfId="10" applyFont="1" applyBorder="1" applyAlignment="1">
      <alignment horizontal="left" vertical="center" wrapText="1" indent="1"/>
    </xf>
    <xf numFmtId="0" fontId="6" fillId="0" borderId="1" xfId="10" applyFont="1" applyBorder="1" applyAlignment="1">
      <alignment horizontal="left" vertical="center" wrapText="1" indent="1"/>
    </xf>
    <xf numFmtId="0" fontId="6" fillId="0" borderId="1" xfId="10" applyFont="1" applyBorder="1"/>
    <xf numFmtId="0" fontId="6" fillId="0" borderId="44" xfId="10" applyFont="1" applyBorder="1" applyAlignment="1">
      <alignment vertical="center" wrapText="1"/>
    </xf>
    <xf numFmtId="0" fontId="6" fillId="0" borderId="45" xfId="10" applyFont="1" applyBorder="1" applyAlignment="1">
      <alignment vertical="center" wrapText="1"/>
    </xf>
    <xf numFmtId="0" fontId="6" fillId="0" borderId="50" xfId="10" applyFont="1" applyBorder="1" applyAlignment="1">
      <alignment vertical="center" wrapText="1"/>
    </xf>
    <xf numFmtId="0" fontId="6" fillId="0" borderId="51" xfId="10" applyFont="1" applyBorder="1" applyAlignment="1">
      <alignment vertical="center" wrapText="1"/>
    </xf>
    <xf numFmtId="0" fontId="6" fillId="15" borderId="0" xfId="0" applyFont="1" applyFill="1" applyAlignment="1"/>
    <xf numFmtId="0" fontId="6" fillId="15" borderId="0" xfId="10" applyFont="1" applyFill="1" applyAlignment="1">
      <alignment horizontal="distributed" vertical="center" wrapText="1"/>
    </xf>
    <xf numFmtId="0" fontId="6" fillId="15" borderId="0" xfId="10" applyFont="1" applyFill="1" applyAlignment="1">
      <alignment vertical="center" wrapText="1"/>
    </xf>
    <xf numFmtId="0" fontId="6" fillId="15" borderId="0" xfId="10" applyFont="1" applyFill="1" applyAlignment="1">
      <alignment horizontal="left" vertical="center" wrapText="1"/>
    </xf>
    <xf numFmtId="0" fontId="10" fillId="0" borderId="0" xfId="10" applyFont="1" applyAlignment="1">
      <alignment vertical="center"/>
    </xf>
    <xf numFmtId="0" fontId="9" fillId="0" borderId="0" xfId="10" applyFont="1" applyAlignment="1">
      <alignment horizontal="right" vertical="center"/>
    </xf>
    <xf numFmtId="0" fontId="6" fillId="0" borderId="55" xfId="10" applyFont="1" applyBorder="1" applyAlignment="1">
      <alignment horizontal="center" vertical="center"/>
    </xf>
    <xf numFmtId="0" fontId="10" fillId="0" borderId="1" xfId="10" applyFont="1" applyBorder="1" applyAlignment="1">
      <alignment vertical="center"/>
    </xf>
    <xf numFmtId="0" fontId="4" fillId="0" borderId="55" xfId="0" applyFont="1" applyBorder="1" applyAlignment="1">
      <alignment horizontal="center" vertical="center"/>
    </xf>
    <xf numFmtId="9" fontId="10" fillId="0" borderId="0" xfId="10" applyNumberFormat="1" applyFont="1" applyAlignment="1">
      <alignment vertical="center"/>
    </xf>
    <xf numFmtId="0" fontId="4" fillId="0" borderId="55" xfId="10" applyBorder="1" applyAlignment="1">
      <alignment horizontal="center" vertical="center"/>
    </xf>
    <xf numFmtId="0" fontId="10" fillId="0" borderId="0" xfId="10" applyFont="1" applyAlignment="1">
      <alignment horizontal="center" vertical="center"/>
    </xf>
    <xf numFmtId="0" fontId="4" fillId="0" borderId="0" xfId="10" applyAlignment="1">
      <alignment horizontal="center" vertical="center"/>
    </xf>
    <xf numFmtId="9" fontId="10" fillId="0" borderId="0" xfId="10" applyNumberFormat="1" applyFont="1" applyAlignment="1">
      <alignment horizontal="center" vertical="center"/>
    </xf>
    <xf numFmtId="0" fontId="84" fillId="0" borderId="0" xfId="0" applyFont="1" applyAlignment="1">
      <alignment horizontal="center" vertical="center"/>
    </xf>
    <xf numFmtId="0" fontId="85" fillId="0" borderId="0" xfId="0" applyFont="1" applyAlignment="1">
      <alignment horizontal="right" vertical="center"/>
    </xf>
    <xf numFmtId="0" fontId="6" fillId="0" borderId="0" xfId="0" applyFont="1">
      <alignment vertical="center"/>
    </xf>
    <xf numFmtId="0" fontId="0" fillId="0" borderId="0" xfId="0" applyAlignment="1"/>
    <xf numFmtId="0" fontId="6" fillId="0" borderId="76" xfId="10" applyFont="1" applyBorder="1" applyAlignment="1">
      <alignment vertical="center" wrapText="1"/>
    </xf>
    <xf numFmtId="0" fontId="6" fillId="15" borderId="76" xfId="10" applyFont="1" applyFill="1" applyBorder="1" applyAlignment="1">
      <alignment horizontal="left" vertical="center" wrapText="1"/>
    </xf>
    <xf numFmtId="0" fontId="6" fillId="0" borderId="12" xfId="0" applyFont="1" applyBorder="1">
      <alignment vertical="center"/>
    </xf>
    <xf numFmtId="0" fontId="0" fillId="0" borderId="0" xfId="0" applyAlignment="1">
      <alignment horizontal="center" vertical="center"/>
    </xf>
    <xf numFmtId="0" fontId="6" fillId="0" borderId="0" xfId="0" applyFont="1" applyAlignment="1">
      <alignment vertical="center" shrinkToFit="1"/>
    </xf>
    <xf numFmtId="0" fontId="6" fillId="0" borderId="213" xfId="10" applyFont="1" applyBorder="1" applyAlignment="1">
      <alignment vertical="center"/>
    </xf>
    <xf numFmtId="0" fontId="6" fillId="0" borderId="214" xfId="10" applyFont="1" applyBorder="1" applyAlignment="1">
      <alignment vertical="center"/>
    </xf>
    <xf numFmtId="0" fontId="6" fillId="0" borderId="215" xfId="10" applyFont="1" applyBorder="1" applyAlignment="1">
      <alignment vertical="center"/>
    </xf>
    <xf numFmtId="0" fontId="6" fillId="0" borderId="216" xfId="10" applyFont="1" applyBorder="1" applyAlignment="1">
      <alignment vertical="center"/>
    </xf>
    <xf numFmtId="0" fontId="6" fillId="0" borderId="217" xfId="10" applyFont="1" applyBorder="1" applyAlignment="1">
      <alignment vertical="center"/>
    </xf>
    <xf numFmtId="0" fontId="6" fillId="0" borderId="218" xfId="10" applyFont="1" applyBorder="1" applyAlignment="1">
      <alignment vertical="center"/>
    </xf>
    <xf numFmtId="0" fontId="6" fillId="0" borderId="219" xfId="10" applyFont="1" applyBorder="1" applyAlignment="1">
      <alignment vertical="center"/>
    </xf>
    <xf numFmtId="0" fontId="6" fillId="0" borderId="220" xfId="10" applyFont="1" applyBorder="1" applyAlignment="1">
      <alignment vertical="center"/>
    </xf>
    <xf numFmtId="0" fontId="6" fillId="0" borderId="221" xfId="10" applyFont="1" applyBorder="1" applyAlignment="1">
      <alignment vertical="center"/>
    </xf>
    <xf numFmtId="0" fontId="6" fillId="0" borderId="0" xfId="0" applyFont="1" applyAlignment="1">
      <alignment horizontal="center" vertical="center" shrinkToFit="1"/>
    </xf>
    <xf numFmtId="0" fontId="6" fillId="0" borderId="75" xfId="0" applyFont="1" applyBorder="1" applyAlignment="1">
      <alignment horizontal="center" vertical="center"/>
    </xf>
    <xf numFmtId="0" fontId="6" fillId="0" borderId="48" xfId="0" applyFont="1" applyBorder="1">
      <alignment vertical="center"/>
    </xf>
    <xf numFmtId="0" fontId="6" fillId="0" borderId="49" xfId="0" applyFont="1" applyBorder="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1" fillId="0" borderId="3" xfId="10" applyFont="1" applyBorder="1" applyAlignment="1">
      <alignment horizontal="right" vertical="center"/>
    </xf>
    <xf numFmtId="0" fontId="6" fillId="0" borderId="84" xfId="10" applyFont="1" applyBorder="1" applyAlignment="1">
      <alignment vertical="center"/>
    </xf>
    <xf numFmtId="0" fontId="6" fillId="15" borderId="84" xfId="10" applyFont="1" applyFill="1" applyBorder="1" applyAlignment="1">
      <alignment horizontal="left" vertical="center" wrapText="1"/>
    </xf>
    <xf numFmtId="0" fontId="6" fillId="0" borderId="0" xfId="12" applyFont="1"/>
    <xf numFmtId="0" fontId="10" fillId="0" borderId="0" xfId="12" applyFont="1"/>
    <xf numFmtId="0" fontId="6" fillId="0" borderId="2" xfId="12" applyFont="1" applyBorder="1"/>
    <xf numFmtId="0" fontId="6" fillId="0" borderId="3" xfId="12" applyFont="1" applyBorder="1"/>
    <xf numFmtId="0" fontId="10" fillId="0" borderId="3" xfId="12" applyFont="1" applyBorder="1"/>
    <xf numFmtId="0" fontId="10" fillId="0" borderId="4" xfId="12" applyFont="1" applyBorder="1"/>
    <xf numFmtId="0" fontId="6" fillId="0" borderId="5" xfId="12" applyFont="1" applyBorder="1"/>
    <xf numFmtId="0" fontId="10" fillId="0" borderId="1" xfId="12" applyFont="1" applyBorder="1"/>
    <xf numFmtId="38" fontId="6" fillId="0" borderId="0" xfId="10" applyNumberFormat="1" applyFont="1" applyAlignment="1">
      <alignment vertical="center"/>
    </xf>
    <xf numFmtId="0" fontId="6" fillId="0" borderId="0" xfId="10" applyFont="1" applyAlignment="1">
      <alignment horizontal="right"/>
    </xf>
    <xf numFmtId="38" fontId="6" fillId="0" borderId="0" xfId="10" applyNumberFormat="1" applyFont="1" applyAlignment="1">
      <alignment horizontal="center" vertical="center"/>
    </xf>
    <xf numFmtId="0" fontId="6" fillId="0" borderId="0" xfId="10" applyFont="1" applyAlignment="1">
      <alignment horizontal="left" vertical="top" wrapText="1"/>
    </xf>
    <xf numFmtId="0" fontId="13" fillId="0" borderId="0" xfId="10" applyFont="1" applyAlignment="1">
      <alignment horizontal="center" vertical="center" wrapText="1"/>
    </xf>
    <xf numFmtId="0" fontId="9" fillId="0" borderId="0" xfId="10" applyFont="1" applyAlignment="1">
      <alignment horizontal="center" vertical="center" wrapText="1"/>
    </xf>
    <xf numFmtId="0" fontId="92" fillId="0" borderId="0" xfId="10" applyFont="1" applyAlignment="1">
      <alignment vertical="center"/>
    </xf>
    <xf numFmtId="0" fontId="9" fillId="0" borderId="0" xfId="10" applyFont="1" applyAlignment="1">
      <alignment horizontal="right"/>
    </xf>
    <xf numFmtId="0" fontId="6" fillId="0" borderId="10" xfId="10" applyFont="1" applyBorder="1" applyAlignment="1">
      <alignment horizontal="center" vertical="center"/>
    </xf>
    <xf numFmtId="0" fontId="6" fillId="0" borderId="6" xfId="12" applyFont="1" applyBorder="1" applyAlignment="1">
      <alignment vertical="center"/>
    </xf>
    <xf numFmtId="0" fontId="6" fillId="0" borderId="7" xfId="12" applyFont="1" applyBorder="1" applyAlignment="1">
      <alignment vertical="center"/>
    </xf>
    <xf numFmtId="0" fontId="6" fillId="0" borderId="7" xfId="12" applyFont="1" applyBorder="1" applyAlignment="1">
      <alignment horizontal="left" vertical="center"/>
    </xf>
    <xf numFmtId="0" fontId="9" fillId="0" borderId="7" xfId="12" applyFont="1" applyBorder="1" applyAlignment="1">
      <alignment horizontal="right" vertical="center"/>
    </xf>
    <xf numFmtId="176" fontId="9" fillId="0" borderId="7" xfId="12" applyNumberFormat="1" applyFont="1" applyBorder="1" applyAlignment="1">
      <alignment horizontal="left" vertical="center"/>
    </xf>
    <xf numFmtId="176" fontId="9" fillId="0" borderId="7" xfId="12" applyNumberFormat="1" applyFont="1" applyBorder="1" applyAlignment="1">
      <alignment vertical="center"/>
    </xf>
    <xf numFmtId="0" fontId="6" fillId="0" borderId="8" xfId="12" applyFont="1" applyBorder="1" applyAlignment="1">
      <alignment vertical="center"/>
    </xf>
    <xf numFmtId="0" fontId="6" fillId="0" borderId="0" xfId="12" applyFont="1" applyAlignment="1">
      <alignment vertical="center"/>
    </xf>
    <xf numFmtId="0" fontId="6" fillId="0" borderId="0" xfId="12" applyFont="1" applyAlignment="1">
      <alignment horizontal="left" vertical="center"/>
    </xf>
    <xf numFmtId="0" fontId="9" fillId="0" borderId="0" xfId="12" applyFont="1" applyAlignment="1">
      <alignment horizontal="right" vertical="center"/>
    </xf>
    <xf numFmtId="178" fontId="9" fillId="0" borderId="0" xfId="12" applyNumberFormat="1" applyFont="1" applyAlignment="1">
      <alignment vertical="center"/>
    </xf>
    <xf numFmtId="0" fontId="6" fillId="0" borderId="0" xfId="12" applyFont="1" applyAlignment="1">
      <alignment horizontal="right" vertical="center"/>
    </xf>
    <xf numFmtId="0" fontId="6" fillId="0" borderId="7" xfId="12" applyFont="1" applyBorder="1"/>
    <xf numFmtId="0" fontId="10" fillId="0" borderId="7" xfId="12" applyFont="1" applyBorder="1"/>
    <xf numFmtId="3" fontId="10" fillId="0" borderId="7" xfId="12" applyNumberFormat="1" applyFont="1" applyBorder="1"/>
    <xf numFmtId="3" fontId="10" fillId="0" borderId="3" xfId="12" applyNumberFormat="1" applyFont="1" applyBorder="1"/>
    <xf numFmtId="3" fontId="10" fillId="0" borderId="4" xfId="12" applyNumberFormat="1" applyFont="1" applyBorder="1"/>
    <xf numFmtId="3" fontId="10" fillId="0" borderId="0" xfId="12" applyNumberFormat="1" applyFont="1"/>
    <xf numFmtId="3" fontId="10" fillId="0" borderId="1" xfId="12" applyNumberFormat="1" applyFont="1" applyBorder="1"/>
    <xf numFmtId="0" fontId="10" fillId="0" borderId="5" xfId="12" applyFont="1" applyBorder="1"/>
    <xf numFmtId="0" fontId="6" fillId="0" borderId="9" xfId="12" applyFont="1" applyBorder="1" applyAlignment="1">
      <alignment vertical="center"/>
    </xf>
    <xf numFmtId="0" fontId="6" fillId="0" borderId="46" xfId="12" applyFont="1" applyBorder="1" applyAlignment="1">
      <alignment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10" fillId="0" borderId="0" xfId="12" applyFont="1" applyAlignment="1">
      <alignment horizontal="center" wrapText="1"/>
    </xf>
    <xf numFmtId="0" fontId="10" fillId="0" borderId="0" xfId="12" applyFont="1" applyAlignment="1">
      <alignment horizontal="center"/>
    </xf>
    <xf numFmtId="0" fontId="6" fillId="0" borderId="11" xfId="12" applyFont="1" applyBorder="1" applyAlignment="1">
      <alignment vertical="center"/>
    </xf>
    <xf numFmtId="0" fontId="6" fillId="0" borderId="12" xfId="12" applyFont="1" applyBorder="1" applyAlignment="1">
      <alignment horizontal="center" vertical="center"/>
    </xf>
    <xf numFmtId="184" fontId="6" fillId="0" borderId="12" xfId="12" applyNumberFormat="1" applyFont="1" applyBorder="1" applyAlignment="1">
      <alignment horizontal="center" vertical="center"/>
    </xf>
    <xf numFmtId="0" fontId="6" fillId="0" borderId="13" xfId="12" applyFont="1" applyBorder="1" applyAlignment="1">
      <alignment horizontal="center" vertical="center" wrapText="1"/>
    </xf>
    <xf numFmtId="3" fontId="6" fillId="0" borderId="14" xfId="12" applyNumberFormat="1" applyFont="1" applyBorder="1" applyAlignment="1">
      <alignment horizontal="center" vertical="center" wrapText="1"/>
    </xf>
    <xf numFmtId="3" fontId="6" fillId="0" borderId="0" xfId="12" applyNumberFormat="1" applyFont="1" applyAlignment="1">
      <alignment horizontal="center" vertical="center" wrapText="1"/>
    </xf>
    <xf numFmtId="3" fontId="6" fillId="0" borderId="1" xfId="12" applyNumberFormat="1" applyFont="1" applyBorder="1" applyAlignment="1">
      <alignment horizontal="center" vertical="center" wrapText="1"/>
    </xf>
    <xf numFmtId="0" fontId="10" fillId="0" borderId="0" xfId="12" applyFont="1" applyAlignment="1">
      <alignment horizontal="left"/>
    </xf>
    <xf numFmtId="0" fontId="6" fillId="0" borderId="15" xfId="12" applyFont="1" applyBorder="1" applyAlignment="1">
      <alignment horizontal="center" vertical="center" textRotation="255"/>
    </xf>
    <xf numFmtId="0" fontId="6" fillId="0" borderId="16" xfId="12" applyFont="1" applyBorder="1" applyAlignment="1">
      <alignment vertical="center"/>
    </xf>
    <xf numFmtId="0" fontId="7" fillId="0" borderId="12" xfId="12" applyFont="1" applyBorder="1" applyAlignment="1">
      <alignment horizontal="center" vertical="center"/>
    </xf>
    <xf numFmtId="185" fontId="6" fillId="0" borderId="12" xfId="12" applyNumberFormat="1" applyFont="1" applyBorder="1" applyAlignment="1">
      <alignment horizontal="right" vertical="center"/>
    </xf>
    <xf numFmtId="183" fontId="6" fillId="0" borderId="53" xfId="12" applyNumberFormat="1" applyFont="1" applyBorder="1" applyAlignment="1">
      <alignment vertical="center"/>
    </xf>
    <xf numFmtId="185" fontId="6" fillId="0" borderId="0" xfId="12" applyNumberFormat="1" applyFont="1" applyAlignment="1">
      <alignment vertical="center"/>
    </xf>
    <xf numFmtId="185" fontId="6" fillId="0" borderId="1" xfId="12" applyNumberFormat="1" applyFont="1" applyBorder="1" applyAlignment="1">
      <alignment vertical="center"/>
    </xf>
    <xf numFmtId="0" fontId="0" fillId="0" borderId="7" xfId="0" applyBorder="1" applyAlignment="1">
      <alignment horizontal="left" vertical="center"/>
    </xf>
    <xf numFmtId="0" fontId="6" fillId="0" borderId="16" xfId="12" applyFont="1" applyBorder="1" applyAlignment="1">
      <alignment horizontal="left" vertical="center"/>
    </xf>
    <xf numFmtId="0" fontId="6" fillId="0" borderId="2" xfId="12" applyFont="1" applyBorder="1" applyAlignment="1">
      <alignment horizontal="center" vertical="center" textRotation="255"/>
    </xf>
    <xf numFmtId="0" fontId="6" fillId="0" borderId="4" xfId="12" applyFont="1" applyBorder="1" applyAlignment="1">
      <alignment vertical="center"/>
    </xf>
    <xf numFmtId="0" fontId="6" fillId="0" borderId="15" xfId="12" applyFont="1" applyBorder="1" applyAlignment="1">
      <alignment vertical="center"/>
    </xf>
    <xf numFmtId="0" fontId="13" fillId="0" borderId="13" xfId="12" applyFont="1" applyBorder="1" applyAlignment="1">
      <alignment horizontal="distributed" vertical="center"/>
    </xf>
    <xf numFmtId="0" fontId="6" fillId="0" borderId="4" xfId="12" applyFont="1" applyBorder="1" applyAlignment="1">
      <alignment vertical="center" wrapText="1"/>
    </xf>
    <xf numFmtId="0" fontId="6" fillId="0" borderId="15" xfId="12" applyFont="1" applyBorder="1" applyAlignment="1">
      <alignment vertical="center" wrapText="1"/>
    </xf>
    <xf numFmtId="0" fontId="6" fillId="0" borderId="8" xfId="12" applyFont="1" applyBorder="1" applyAlignment="1">
      <alignment vertical="center" wrapText="1"/>
    </xf>
    <xf numFmtId="0" fontId="13" fillId="0" borderId="16" xfId="12" applyFont="1" applyBorder="1" applyAlignment="1">
      <alignment horizontal="distributed" vertical="center"/>
    </xf>
    <xf numFmtId="0" fontId="6" fillId="0" borderId="13" xfId="12" applyFont="1" applyBorder="1" applyAlignment="1">
      <alignment horizontal="distributed" vertical="center"/>
    </xf>
    <xf numFmtId="0" fontId="6" fillId="0" borderId="1" xfId="12" applyFont="1" applyBorder="1" applyAlignment="1">
      <alignment vertical="center"/>
    </xf>
    <xf numFmtId="0" fontId="6" fillId="0" borderId="15" xfId="12" applyFont="1" applyBorder="1" applyAlignment="1">
      <alignment horizontal="center" vertical="center" wrapText="1"/>
    </xf>
    <xf numFmtId="0" fontId="6" fillId="0" borderId="21" xfId="12" applyFont="1" applyBorder="1" applyAlignment="1">
      <alignment horizontal="center" vertical="center" textRotation="255"/>
    </xf>
    <xf numFmtId="0" fontId="6" fillId="0" borderId="26" xfId="12" applyFont="1" applyBorder="1" applyAlignment="1">
      <alignment vertical="center"/>
    </xf>
    <xf numFmtId="0" fontId="7" fillId="0" borderId="19" xfId="12" applyFont="1" applyBorder="1" applyAlignment="1">
      <alignment horizontal="center" vertical="center"/>
    </xf>
    <xf numFmtId="0" fontId="6" fillId="0" borderId="6" xfId="12" applyFont="1" applyBorder="1" applyAlignment="1">
      <alignment horizontal="center" vertical="center" textRotation="255"/>
    </xf>
    <xf numFmtId="0" fontId="7" fillId="0" borderId="24" xfId="12" applyFont="1" applyBorder="1" applyAlignment="1">
      <alignment horizontal="center" vertical="center"/>
    </xf>
    <xf numFmtId="185" fontId="6" fillId="0" borderId="24" xfId="12" applyNumberFormat="1" applyFont="1" applyBorder="1" applyAlignment="1">
      <alignment horizontal="right" vertical="center"/>
    </xf>
    <xf numFmtId="176" fontId="6" fillId="0" borderId="112" xfId="12" applyNumberFormat="1" applyFont="1" applyBorder="1" applyAlignment="1">
      <alignment vertical="center"/>
    </xf>
    <xf numFmtId="185" fontId="6" fillId="0" borderId="25" xfId="12" applyNumberFormat="1" applyFont="1" applyBorder="1" applyAlignment="1">
      <alignment horizontal="right" vertical="center"/>
    </xf>
    <xf numFmtId="183" fontId="6" fillId="15" borderId="225" xfId="12" applyNumberFormat="1" applyFont="1" applyFill="1" applyBorder="1" applyAlignment="1">
      <alignment vertical="center"/>
    </xf>
    <xf numFmtId="176" fontId="6" fillId="0" borderId="226" xfId="12" applyNumberFormat="1" applyFont="1" applyBorder="1" applyAlignment="1">
      <alignment vertical="center"/>
    </xf>
    <xf numFmtId="0" fontId="0" fillId="0" borderId="227" xfId="0" applyBorder="1" applyAlignment="1">
      <alignment horizontal="left" vertical="center"/>
    </xf>
    <xf numFmtId="186" fontId="6" fillId="17" borderId="53" xfId="12" applyNumberFormat="1" applyFont="1" applyFill="1" applyBorder="1" applyAlignment="1">
      <alignment vertical="center"/>
    </xf>
    <xf numFmtId="185" fontId="6" fillId="0" borderId="119" xfId="12" applyNumberFormat="1" applyFont="1" applyBorder="1" applyAlignment="1">
      <alignment horizontal="right" vertical="center"/>
    </xf>
    <xf numFmtId="0" fontId="6" fillId="0" borderId="5" xfId="12" applyFont="1" applyBorder="1" applyAlignment="1">
      <alignment horizontal="center" vertical="center" textRotation="255"/>
    </xf>
    <xf numFmtId="0" fontId="6" fillId="0" borderId="1" xfId="12" applyFont="1" applyBorder="1" applyAlignment="1">
      <alignment horizontal="center" vertical="center" wrapText="1"/>
    </xf>
    <xf numFmtId="0" fontId="6" fillId="0" borderId="4" xfId="12" applyFont="1" applyBorder="1" applyAlignment="1">
      <alignment horizontal="center" vertical="center"/>
    </xf>
    <xf numFmtId="0" fontId="7" fillId="0" borderId="167" xfId="12" applyFont="1" applyBorder="1" applyAlignment="1">
      <alignment horizontal="center" vertical="center"/>
    </xf>
    <xf numFmtId="3" fontId="6" fillId="0" borderId="204" xfId="12" applyNumberFormat="1" applyFont="1" applyBorder="1" applyAlignment="1">
      <alignment horizontal="center" vertical="center"/>
    </xf>
    <xf numFmtId="185" fontId="6" fillId="0" borderId="2" xfId="12" applyNumberFormat="1" applyFont="1" applyBorder="1" applyAlignment="1">
      <alignment vertical="center"/>
    </xf>
    <xf numFmtId="178" fontId="6" fillId="0" borderId="205" xfId="12" applyNumberFormat="1" applyFont="1" applyBorder="1" applyAlignment="1">
      <alignment vertical="center"/>
    </xf>
    <xf numFmtId="176" fontId="6" fillId="0" borderId="194" xfId="12" applyNumberFormat="1" applyFont="1" applyBorder="1" applyAlignment="1">
      <alignment vertical="center"/>
    </xf>
    <xf numFmtId="3" fontId="6" fillId="0" borderId="1" xfId="12" applyNumberFormat="1" applyFont="1" applyBorder="1" applyAlignment="1">
      <alignment vertical="center"/>
    </xf>
    <xf numFmtId="0" fontId="6" fillId="0" borderId="5" xfId="12" applyFont="1" applyBorder="1" applyAlignment="1">
      <alignment vertical="center"/>
    </xf>
    <xf numFmtId="0" fontId="16" fillId="0" borderId="28" xfId="12" applyFont="1" applyBorder="1" applyAlignment="1">
      <alignment horizontal="center" vertical="center" textRotation="255"/>
    </xf>
    <xf numFmtId="0" fontId="6" fillId="0" borderId="29" xfId="12" applyFont="1" applyBorder="1" applyAlignment="1">
      <alignment vertical="center" shrinkToFit="1"/>
    </xf>
    <xf numFmtId="0" fontId="10" fillId="0" borderId="30" xfId="12" applyFont="1" applyBorder="1" applyAlignment="1">
      <alignment horizontal="center" vertical="center"/>
    </xf>
    <xf numFmtId="185" fontId="6" fillId="0" borderId="28" xfId="12" applyNumberFormat="1" applyFont="1" applyBorder="1" applyAlignment="1">
      <alignment vertical="center"/>
    </xf>
    <xf numFmtId="178" fontId="6" fillId="0" borderId="203" xfId="12" applyNumberFormat="1" applyFont="1" applyBorder="1" applyAlignment="1">
      <alignment vertical="center"/>
    </xf>
    <xf numFmtId="0" fontId="16" fillId="0" borderId="6" xfId="12" applyFont="1" applyBorder="1" applyAlignment="1">
      <alignment horizontal="center" vertical="center" textRotation="255"/>
    </xf>
    <xf numFmtId="0" fontId="6" fillId="0" borderId="8" xfId="12" applyFont="1" applyBorder="1" applyAlignment="1">
      <alignment vertical="center" shrinkToFit="1"/>
    </xf>
    <xf numFmtId="0" fontId="10" fillId="0" borderId="24" xfId="12" applyFont="1" applyBorder="1" applyAlignment="1">
      <alignment horizontal="center" vertical="center"/>
    </xf>
    <xf numFmtId="185" fontId="6" fillId="0" borderId="25" xfId="12" applyNumberFormat="1" applyFont="1" applyBorder="1" applyAlignment="1">
      <alignment vertical="center"/>
    </xf>
    <xf numFmtId="182" fontId="6" fillId="15" borderId="225" xfId="12" applyNumberFormat="1" applyFont="1" applyFill="1" applyBorder="1" applyAlignment="1">
      <alignment vertical="center"/>
    </xf>
    <xf numFmtId="178" fontId="6" fillId="15" borderId="226" xfId="12" applyNumberFormat="1" applyFont="1" applyFill="1" applyBorder="1" applyAlignment="1">
      <alignment vertical="center"/>
    </xf>
    <xf numFmtId="182" fontId="6" fillId="17" borderId="42" xfId="12" applyNumberFormat="1" applyFont="1" applyFill="1" applyBorder="1" applyAlignment="1">
      <alignment vertical="center"/>
    </xf>
    <xf numFmtId="178" fontId="6" fillId="0" borderId="14" xfId="12" applyNumberFormat="1" applyFont="1" applyBorder="1" applyAlignment="1">
      <alignment vertical="center"/>
    </xf>
    <xf numFmtId="185" fontId="6" fillId="0" borderId="15" xfId="12" applyNumberFormat="1" applyFont="1" applyBorder="1" applyAlignment="1">
      <alignment vertical="center"/>
    </xf>
    <xf numFmtId="178" fontId="6" fillId="0" borderId="226" xfId="12" applyNumberFormat="1" applyFont="1" applyBorder="1" applyAlignment="1">
      <alignment vertical="center"/>
    </xf>
    <xf numFmtId="0" fontId="10" fillId="0" borderId="63" xfId="12" applyFont="1" applyBorder="1" applyAlignment="1">
      <alignment horizontal="center" vertical="center"/>
    </xf>
    <xf numFmtId="0" fontId="10" fillId="0" borderId="12" xfId="12" applyFont="1" applyBorder="1" applyAlignment="1">
      <alignment horizontal="center" vertical="center"/>
    </xf>
    <xf numFmtId="185" fontId="6" fillId="0" borderId="229" xfId="12" applyNumberFormat="1" applyFont="1" applyBorder="1" applyAlignment="1">
      <alignment vertical="center"/>
    </xf>
    <xf numFmtId="0" fontId="16" fillId="0" borderId="21" xfId="12" applyFont="1" applyBorder="1" applyAlignment="1">
      <alignment horizontal="center" vertical="center" textRotation="255"/>
    </xf>
    <xf numFmtId="0" fontId="6" fillId="0" borderId="26" xfId="12" applyFont="1" applyBorder="1" applyAlignment="1">
      <alignment horizontal="center" vertical="center"/>
    </xf>
    <xf numFmtId="0" fontId="10" fillId="0" borderId="19" xfId="12" applyFont="1" applyBorder="1" applyAlignment="1">
      <alignment horizontal="center" vertical="center"/>
    </xf>
    <xf numFmtId="185" fontId="6" fillId="0" borderId="19" xfId="12" applyNumberFormat="1" applyFont="1" applyBorder="1" applyAlignment="1">
      <alignment vertical="center"/>
    </xf>
    <xf numFmtId="185" fontId="6" fillId="0" borderId="27" xfId="12" applyNumberFormat="1" applyFont="1" applyBorder="1" applyAlignment="1">
      <alignment vertical="center"/>
    </xf>
    <xf numFmtId="178" fontId="6" fillId="0" borderId="22" xfId="12" applyNumberFormat="1" applyFont="1" applyBorder="1" applyAlignment="1">
      <alignment horizontal="center" vertical="center"/>
    </xf>
    <xf numFmtId="185" fontId="6" fillId="0" borderId="23" xfId="12" applyNumberFormat="1" applyFont="1" applyBorder="1" applyAlignment="1">
      <alignment vertical="center"/>
    </xf>
    <xf numFmtId="0" fontId="16" fillId="0" borderId="28" xfId="12" applyFont="1" applyBorder="1" applyAlignment="1">
      <alignment horizontal="center" vertical="center" textRotation="255" wrapText="1"/>
    </xf>
    <xf numFmtId="0" fontId="6" fillId="0" borderId="29" xfId="12" applyFont="1" applyBorder="1" applyAlignment="1">
      <alignment vertical="center"/>
    </xf>
    <xf numFmtId="185" fontId="6" fillId="0" borderId="31" xfId="12" applyNumberFormat="1" applyFont="1" applyBorder="1" applyAlignment="1">
      <alignment vertical="center"/>
    </xf>
    <xf numFmtId="194" fontId="6" fillId="0" borderId="57" xfId="12" applyNumberFormat="1" applyFont="1" applyBorder="1" applyAlignment="1">
      <alignment vertical="center"/>
    </xf>
    <xf numFmtId="0" fontId="16" fillId="0" borderId="15" xfId="12" applyFont="1" applyBorder="1" applyAlignment="1">
      <alignment horizontal="center" vertical="center" textRotation="255" wrapText="1"/>
    </xf>
    <xf numFmtId="194" fontId="6" fillId="0" borderId="14" xfId="12" applyNumberFormat="1" applyFont="1" applyBorder="1" applyAlignment="1">
      <alignment vertical="center"/>
    </xf>
    <xf numFmtId="0" fontId="16" fillId="0" borderId="21" xfId="12" applyFont="1" applyBorder="1" applyAlignment="1">
      <alignment horizontal="center" vertical="center" textRotation="255" wrapText="1"/>
    </xf>
    <xf numFmtId="0" fontId="6" fillId="0" borderId="18" xfId="12" applyFont="1" applyBorder="1" applyAlignment="1">
      <alignment horizontal="center" vertical="center"/>
    </xf>
    <xf numFmtId="0" fontId="10" fillId="0" borderId="32" xfId="12" applyFont="1" applyBorder="1" applyAlignment="1">
      <alignment horizontal="center" vertical="center"/>
    </xf>
    <xf numFmtId="3" fontId="6" fillId="0" borderId="20" xfId="12" applyNumberFormat="1" applyFont="1" applyBorder="1" applyAlignment="1">
      <alignment horizontal="center" vertical="center"/>
    </xf>
    <xf numFmtId="3" fontId="6" fillId="0" borderId="33" xfId="12" applyNumberFormat="1" applyFont="1" applyBorder="1" applyAlignment="1">
      <alignment vertical="center"/>
    </xf>
    <xf numFmtId="178" fontId="6" fillId="0" borderId="34" xfId="12" applyNumberFormat="1" applyFont="1" applyBorder="1" applyAlignment="1">
      <alignment horizontal="center" vertical="center"/>
    </xf>
    <xf numFmtId="185" fontId="6" fillId="0" borderId="58" xfId="12" applyNumberFormat="1" applyFont="1" applyBorder="1" applyAlignment="1">
      <alignment vertical="center"/>
    </xf>
    <xf numFmtId="0" fontId="6" fillId="0" borderId="116" xfId="12" applyFont="1" applyBorder="1" applyAlignment="1">
      <alignment vertical="center" wrapText="1"/>
    </xf>
    <xf numFmtId="3" fontId="6" fillId="0" borderId="35" xfId="12" applyNumberFormat="1" applyFont="1" applyBorder="1" applyAlignment="1">
      <alignment vertical="center"/>
    </xf>
    <xf numFmtId="185" fontId="6" fillId="0" borderId="199" xfId="12" applyNumberFormat="1" applyFont="1" applyBorder="1" applyAlignment="1">
      <alignment vertical="center"/>
    </xf>
    <xf numFmtId="178" fontId="6" fillId="0" borderId="200" xfId="12" applyNumberFormat="1" applyFont="1" applyBorder="1" applyAlignment="1">
      <alignment horizontal="center" vertical="center"/>
    </xf>
    <xf numFmtId="178" fontId="6" fillId="0" borderId="199" xfId="12" applyNumberFormat="1" applyFont="1" applyBorder="1" applyAlignment="1">
      <alignment horizontal="right" vertical="center"/>
    </xf>
    <xf numFmtId="0" fontId="6" fillId="0" borderId="201" xfId="12" applyFont="1" applyBorder="1" applyAlignment="1">
      <alignment vertical="center" wrapText="1"/>
    </xf>
    <xf numFmtId="0" fontId="6" fillId="0" borderId="202" xfId="12" applyFont="1" applyBorder="1" applyAlignment="1">
      <alignment horizontal="center" vertical="center" wrapText="1"/>
    </xf>
    <xf numFmtId="0" fontId="6" fillId="0" borderId="195" xfId="12" applyFont="1" applyBorder="1" applyAlignment="1">
      <alignment horizontal="center" vertical="center" wrapText="1"/>
    </xf>
    <xf numFmtId="0" fontId="10" fillId="0" borderId="196" xfId="12" applyFont="1" applyBorder="1" applyAlignment="1">
      <alignment horizontal="center" vertical="center"/>
    </xf>
    <xf numFmtId="3" fontId="6" fillId="0" borderId="196" xfId="12" applyNumberFormat="1" applyFont="1" applyBorder="1" applyAlignment="1">
      <alignment horizontal="center" vertical="center"/>
    </xf>
    <xf numFmtId="3" fontId="6" fillId="0" borderId="197" xfId="12" applyNumberFormat="1" applyFont="1" applyBorder="1" applyAlignment="1">
      <alignment vertical="center"/>
    </xf>
    <xf numFmtId="178" fontId="6" fillId="0" borderId="198" xfId="12" applyNumberFormat="1" applyFont="1" applyBorder="1" applyAlignment="1">
      <alignment horizontal="center" vertical="center"/>
    </xf>
    <xf numFmtId="0" fontId="6" fillId="0" borderId="50" xfId="12" applyFont="1" applyBorder="1" applyAlignment="1">
      <alignment vertical="center" wrapText="1"/>
    </xf>
    <xf numFmtId="0" fontId="6" fillId="0" borderId="51" xfId="12" applyFont="1" applyBorder="1" applyAlignment="1">
      <alignment horizontal="center" vertical="center" wrapText="1"/>
    </xf>
    <xf numFmtId="0" fontId="6" fillId="0" borderId="43" xfId="12" applyFont="1" applyBorder="1" applyAlignment="1">
      <alignment horizontal="center" vertical="center" wrapText="1"/>
    </xf>
    <xf numFmtId="0" fontId="10" fillId="0" borderId="95" xfId="12" applyFont="1" applyBorder="1" applyAlignment="1">
      <alignment horizontal="center" vertical="center"/>
    </xf>
    <xf numFmtId="176" fontId="6" fillId="0" borderId="0" xfId="12" applyNumberFormat="1" applyFont="1" applyAlignment="1">
      <alignment horizontal="center" vertical="center"/>
    </xf>
    <xf numFmtId="194" fontId="6" fillId="15" borderId="224" xfId="12" applyNumberFormat="1" applyFont="1" applyFill="1" applyBorder="1" applyAlignment="1">
      <alignment horizontal="right" vertical="center"/>
    </xf>
    <xf numFmtId="3" fontId="6" fillId="0" borderId="0" xfId="12" applyNumberFormat="1" applyFont="1" applyAlignment="1">
      <alignment horizontal="center" vertical="center"/>
    </xf>
    <xf numFmtId="3" fontId="6" fillId="0" borderId="1" xfId="12" applyNumberFormat="1" applyFont="1" applyBorder="1" applyAlignment="1">
      <alignment horizontal="center" vertical="center"/>
    </xf>
    <xf numFmtId="0" fontId="6" fillId="0" borderId="0" xfId="12" applyFont="1" applyAlignment="1">
      <alignment vertical="center" wrapText="1"/>
    </xf>
    <xf numFmtId="0" fontId="9" fillId="0" borderId="0" xfId="12" applyFont="1" applyAlignment="1">
      <alignment horizontal="distributed" vertical="center" wrapText="1"/>
    </xf>
    <xf numFmtId="0" fontId="6" fillId="0" borderId="0" xfId="12" applyFont="1" applyAlignment="1">
      <alignment horizontal="center" vertical="center" wrapText="1"/>
    </xf>
    <xf numFmtId="0" fontId="10" fillId="0" borderId="0" xfId="12" applyFont="1" applyAlignment="1">
      <alignment horizontal="center" vertical="center"/>
    </xf>
    <xf numFmtId="185" fontId="6" fillId="0" borderId="0" xfId="12" applyNumberFormat="1" applyFont="1" applyAlignment="1">
      <alignment horizontal="right" vertical="center"/>
    </xf>
    <xf numFmtId="3" fontId="6" fillId="15" borderId="0" xfId="12" applyNumberFormat="1" applyFont="1" applyFill="1" applyAlignment="1">
      <alignment horizontal="right" vertical="center"/>
    </xf>
    <xf numFmtId="195" fontId="94" fillId="0" borderId="7" xfId="18" applyNumberFormat="1" applyFont="1" applyBorder="1" applyAlignment="1" applyProtection="1">
      <alignment horizontal="right" vertical="center" indent="1" shrinkToFit="1"/>
    </xf>
    <xf numFmtId="0" fontId="87" fillId="15" borderId="7" xfId="12" applyFont="1" applyFill="1" applyBorder="1" applyAlignment="1">
      <alignment vertical="center" wrapText="1"/>
    </xf>
    <xf numFmtId="0" fontId="6" fillId="0" borderId="7" xfId="12" applyFont="1" applyBorder="1" applyAlignment="1">
      <alignment horizontal="center" vertical="center" wrapText="1"/>
    </xf>
    <xf numFmtId="0" fontId="6" fillId="0" borderId="7" xfId="12" applyFont="1" applyBorder="1" applyAlignment="1">
      <alignment horizontal="distributed" vertical="center" wrapText="1"/>
    </xf>
    <xf numFmtId="0" fontId="6" fillId="0" borderId="7" xfId="12" applyFont="1" applyBorder="1" applyAlignment="1">
      <alignment vertical="center" shrinkToFit="1"/>
    </xf>
    <xf numFmtId="0" fontId="6" fillId="0" borderId="7" xfId="12" applyFont="1" applyBorder="1" applyAlignment="1">
      <alignment horizontal="center" vertical="center" shrinkToFit="1"/>
    </xf>
    <xf numFmtId="0" fontId="10" fillId="0" borderId="7" xfId="12" applyFont="1" applyBorder="1" applyAlignment="1">
      <alignment horizontal="center" vertical="center"/>
    </xf>
    <xf numFmtId="185" fontId="6" fillId="0" borderId="7" xfId="12" applyNumberFormat="1" applyFont="1" applyBorder="1" applyAlignment="1">
      <alignment vertical="center"/>
    </xf>
    <xf numFmtId="182" fontId="6" fillId="0" borderId="7" xfId="12" applyNumberFormat="1" applyFont="1" applyBorder="1" applyAlignment="1">
      <alignment horizontal="center" vertical="center"/>
    </xf>
    <xf numFmtId="3" fontId="6" fillId="0" borderId="7" xfId="12" applyNumberFormat="1" applyFont="1" applyBorder="1" applyAlignment="1">
      <alignment vertical="center"/>
    </xf>
    <xf numFmtId="3" fontId="6" fillId="0" borderId="8" xfId="12" applyNumberFormat="1" applyFont="1" applyBorder="1" applyAlignment="1">
      <alignment vertical="center"/>
    </xf>
    <xf numFmtId="176" fontId="9" fillId="0" borderId="0" xfId="12" applyNumberFormat="1" applyFont="1" applyAlignment="1">
      <alignment horizontal="left" vertical="center"/>
    </xf>
    <xf numFmtId="176" fontId="9" fillId="0" borderId="0" xfId="12" applyNumberFormat="1" applyFont="1" applyAlignment="1">
      <alignment vertical="center"/>
    </xf>
    <xf numFmtId="176" fontId="7" fillId="0" borderId="0" xfId="12" applyNumberFormat="1" applyFont="1" applyAlignment="1">
      <alignment horizontal="center" vertical="center"/>
    </xf>
    <xf numFmtId="3" fontId="7" fillId="0" borderId="0" xfId="12" applyNumberFormat="1" applyFont="1" applyAlignment="1">
      <alignment vertical="center"/>
    </xf>
    <xf numFmtId="3" fontId="6" fillId="0" borderId="0" xfId="12" applyNumberFormat="1" applyFont="1" applyAlignment="1">
      <alignment horizontal="right" vertical="center"/>
    </xf>
    <xf numFmtId="3" fontId="6" fillId="0" borderId="0" xfId="12" applyNumberFormat="1" applyFont="1" applyAlignment="1">
      <alignment vertical="center"/>
    </xf>
    <xf numFmtId="0" fontId="6" fillId="0" borderId="0" xfId="13" applyFont="1" applyAlignment="1">
      <alignment vertical="center"/>
    </xf>
    <xf numFmtId="185" fontId="6" fillId="0" borderId="20" xfId="12" applyNumberFormat="1" applyFont="1" applyBorder="1" applyAlignment="1">
      <alignment horizontal="right" vertical="center"/>
    </xf>
    <xf numFmtId="183" fontId="6" fillId="0" borderId="22" xfId="12" applyNumberFormat="1" applyFont="1" applyBorder="1" applyAlignment="1">
      <alignment vertical="center"/>
    </xf>
    <xf numFmtId="185" fontId="6" fillId="0" borderId="230" xfId="12" applyNumberFormat="1" applyFont="1" applyBorder="1" applyAlignment="1">
      <alignment horizontal="right" vertical="center"/>
    </xf>
    <xf numFmtId="183" fontId="6" fillId="13" borderId="191" xfId="12" applyNumberFormat="1" applyFont="1" applyFill="1" applyBorder="1" applyAlignment="1" applyProtection="1">
      <alignment vertical="center"/>
      <protection locked="0"/>
    </xf>
    <xf numFmtId="182" fontId="6" fillId="13" borderId="228" xfId="12" applyNumberFormat="1" applyFont="1" applyFill="1" applyBorder="1" applyAlignment="1" applyProtection="1">
      <alignment vertical="center"/>
      <protection locked="0"/>
    </xf>
    <xf numFmtId="0" fontId="6" fillId="0" borderId="40" xfId="12" applyFont="1" applyBorder="1" applyAlignment="1">
      <alignment vertical="center"/>
    </xf>
    <xf numFmtId="0" fontId="6" fillId="2" borderId="15" xfId="12" applyFont="1" applyFill="1" applyBorder="1" applyAlignment="1">
      <alignment horizontal="center" vertical="center"/>
    </xf>
    <xf numFmtId="180" fontId="6" fillId="0" borderId="0" xfId="12" applyNumberFormat="1" applyFont="1" applyAlignment="1">
      <alignment horizontal="center" vertical="center"/>
    </xf>
    <xf numFmtId="181" fontId="6" fillId="0" borderId="0" xfId="12" applyNumberFormat="1" applyFont="1" applyAlignment="1">
      <alignment horizontal="center" vertical="center"/>
    </xf>
    <xf numFmtId="0" fontId="6" fillId="2" borderId="21" xfId="12" applyFont="1" applyFill="1" applyBorder="1" applyAlignment="1">
      <alignment horizontal="center" vertical="center"/>
    </xf>
    <xf numFmtId="185" fontId="6" fillId="0" borderId="0" xfId="12" applyNumberFormat="1" applyFont="1" applyAlignment="1">
      <alignment horizontal="center" vertical="center"/>
    </xf>
    <xf numFmtId="0" fontId="6" fillId="0" borderId="9" xfId="10" applyFont="1" applyBorder="1" applyAlignment="1">
      <alignment vertical="center"/>
    </xf>
    <xf numFmtId="0" fontId="6" fillId="0" borderId="46" xfId="10" applyFont="1" applyBorder="1" applyAlignment="1">
      <alignment vertical="center"/>
    </xf>
    <xf numFmtId="0" fontId="6" fillId="0" borderId="47" xfId="10" applyFont="1" applyBorder="1" applyAlignment="1">
      <alignment vertical="center" shrinkToFit="1"/>
    </xf>
    <xf numFmtId="0" fontId="6" fillId="0" borderId="40" xfId="10" applyFont="1" applyBorder="1" applyAlignment="1">
      <alignment vertical="center"/>
    </xf>
    <xf numFmtId="0" fontId="6" fillId="0" borderId="54" xfId="10" applyFont="1" applyBorder="1" applyAlignment="1">
      <alignment vertical="center"/>
    </xf>
    <xf numFmtId="0" fontId="6" fillId="0" borderId="16" xfId="10" applyFont="1" applyBorder="1" applyAlignment="1">
      <alignment vertical="center" wrapText="1"/>
    </xf>
    <xf numFmtId="0" fontId="6" fillId="0" borderId="50" xfId="10" applyFont="1" applyBorder="1" applyAlignment="1">
      <alignment vertical="center"/>
    </xf>
    <xf numFmtId="0" fontId="6" fillId="0" borderId="51" xfId="10" applyFont="1" applyBorder="1" applyAlignment="1">
      <alignment vertical="center"/>
    </xf>
    <xf numFmtId="0" fontId="6" fillId="0" borderId="38" xfId="10" applyFont="1" applyBorder="1" applyAlignment="1">
      <alignment vertical="center"/>
    </xf>
    <xf numFmtId="0" fontId="6" fillId="0" borderId="37" xfId="10" applyFont="1" applyBorder="1" applyAlignment="1">
      <alignment vertical="center" shrinkToFit="1"/>
    </xf>
    <xf numFmtId="49" fontId="16" fillId="0" borderId="0" xfId="10" applyNumberFormat="1" applyFont="1" applyAlignment="1">
      <alignment horizontal="center" vertical="center" wrapText="1"/>
    </xf>
    <xf numFmtId="0" fontId="10" fillId="0" borderId="5" xfId="10" applyFont="1" applyBorder="1"/>
    <xf numFmtId="0" fontId="10" fillId="0" borderId="0" xfId="10" applyFont="1"/>
    <xf numFmtId="0" fontId="6" fillId="0" borderId="0" xfId="10" applyFont="1" applyAlignment="1">
      <alignment vertical="top" wrapText="1"/>
    </xf>
    <xf numFmtId="0" fontId="6" fillId="0" borderId="1" xfId="10" applyFont="1" applyBorder="1" applyAlignment="1">
      <alignment vertical="top" wrapText="1"/>
    </xf>
    <xf numFmtId="0" fontId="6" fillId="0" borderId="3" xfId="10" applyFont="1" applyBorder="1" applyAlignment="1">
      <alignment horizontal="center" vertical="center"/>
    </xf>
    <xf numFmtId="3" fontId="10" fillId="0" borderId="7" xfId="12" applyNumberFormat="1" applyFont="1" applyBorder="1" applyAlignment="1">
      <alignment horizontal="right"/>
    </xf>
    <xf numFmtId="3" fontId="10" fillId="0" borderId="3" xfId="12" applyNumberFormat="1" applyFont="1" applyBorder="1" applyAlignment="1">
      <alignment horizontal="right"/>
    </xf>
    <xf numFmtId="3" fontId="10" fillId="0" borderId="0" xfId="12" applyNumberFormat="1" applyFont="1" applyAlignment="1">
      <alignment horizontal="right"/>
    </xf>
    <xf numFmtId="0" fontId="10" fillId="0" borderId="0" xfId="12" applyFont="1" applyAlignment="1">
      <alignment wrapText="1"/>
    </xf>
    <xf numFmtId="0" fontId="6" fillId="15" borderId="16" xfId="12" applyFont="1" applyFill="1" applyBorder="1" applyAlignment="1">
      <alignment horizontal="center" vertical="center"/>
    </xf>
    <xf numFmtId="185" fontId="6" fillId="15" borderId="12" xfId="12" applyNumberFormat="1" applyFont="1" applyFill="1" applyBorder="1" applyAlignment="1">
      <alignment horizontal="right" vertical="center"/>
    </xf>
    <xf numFmtId="183" fontId="6" fillId="15" borderId="53" xfId="12" applyNumberFormat="1" applyFont="1" applyFill="1" applyBorder="1" applyAlignment="1">
      <alignment horizontal="right" vertical="center"/>
    </xf>
    <xf numFmtId="185" fontId="6" fillId="0" borderId="14" xfId="12" applyNumberFormat="1" applyFont="1" applyBorder="1" applyAlignment="1">
      <alignment horizontal="right" vertical="center"/>
    </xf>
    <xf numFmtId="0" fontId="10" fillId="0" borderId="0" xfId="12" applyFont="1" applyAlignment="1">
      <alignment vertical="center"/>
    </xf>
    <xf numFmtId="0" fontId="6" fillId="15" borderId="15" xfId="12" applyFont="1" applyFill="1" applyBorder="1" applyAlignment="1">
      <alignment horizontal="center" vertical="center" wrapText="1"/>
    </xf>
    <xf numFmtId="0" fontId="6" fillId="15" borderId="16" xfId="12" applyFont="1" applyFill="1" applyBorder="1" applyAlignment="1">
      <alignment vertical="center"/>
    </xf>
    <xf numFmtId="0" fontId="6" fillId="15" borderId="12" xfId="12" applyFont="1" applyFill="1" applyBorder="1" applyAlignment="1">
      <alignment horizontal="center" vertical="center"/>
    </xf>
    <xf numFmtId="185" fontId="6" fillId="15" borderId="14" xfId="12" applyNumberFormat="1" applyFont="1" applyFill="1" applyBorder="1" applyAlignment="1">
      <alignment horizontal="right" vertical="center"/>
    </xf>
    <xf numFmtId="0" fontId="7" fillId="15" borderId="12" xfId="12" applyFont="1" applyFill="1" applyBorder="1" applyAlignment="1">
      <alignment horizontal="center" vertical="center"/>
    </xf>
    <xf numFmtId="185" fontId="6" fillId="15" borderId="25" xfId="12" applyNumberFormat="1" applyFont="1" applyFill="1" applyBorder="1" applyAlignment="1">
      <alignment horizontal="right" vertical="center"/>
    </xf>
    <xf numFmtId="185" fontId="6" fillId="15" borderId="230" xfId="12" applyNumberFormat="1" applyFont="1" applyFill="1" applyBorder="1" applyAlignment="1">
      <alignment horizontal="right" vertical="center"/>
    </xf>
    <xf numFmtId="183" fontId="6" fillId="15" borderId="231" xfId="12" applyNumberFormat="1" applyFont="1" applyFill="1" applyBorder="1" applyAlignment="1">
      <alignment horizontal="right" vertical="center"/>
    </xf>
    <xf numFmtId="185" fontId="6" fillId="15" borderId="226" xfId="12" applyNumberFormat="1" applyFont="1" applyFill="1" applyBorder="1" applyAlignment="1">
      <alignment horizontal="right" vertical="center"/>
    </xf>
    <xf numFmtId="183" fontId="6" fillId="0" borderId="53" xfId="12" applyNumberFormat="1" applyFont="1" applyBorder="1" applyAlignment="1">
      <alignment horizontal="right" vertical="center"/>
    </xf>
    <xf numFmtId="0" fontId="6" fillId="15" borderId="1" xfId="12" applyFont="1" applyFill="1" applyBorder="1" applyAlignment="1">
      <alignment horizontal="center" vertical="center" wrapText="1"/>
    </xf>
    <xf numFmtId="0" fontId="6" fillId="15" borderId="4" xfId="12" applyFont="1" applyFill="1" applyBorder="1" applyAlignment="1">
      <alignment horizontal="center" vertical="center"/>
    </xf>
    <xf numFmtId="0" fontId="7" fillId="15" borderId="167" xfId="12" applyFont="1" applyFill="1" applyBorder="1" applyAlignment="1">
      <alignment horizontal="center" vertical="center"/>
    </xf>
    <xf numFmtId="185" fontId="6" fillId="15" borderId="19" xfId="12" applyNumberFormat="1" applyFont="1" applyFill="1" applyBorder="1" applyAlignment="1">
      <alignment horizontal="right" vertical="center"/>
    </xf>
    <xf numFmtId="185" fontId="6" fillId="15" borderId="232" xfId="12" applyNumberFormat="1" applyFont="1" applyFill="1" applyBorder="1" applyAlignment="1">
      <alignment vertical="center"/>
    </xf>
    <xf numFmtId="178" fontId="6" fillId="15" borderId="205" xfId="12" applyNumberFormat="1" applyFont="1" applyFill="1" applyBorder="1" applyAlignment="1">
      <alignment horizontal="right" vertical="center"/>
    </xf>
    <xf numFmtId="185" fontId="6" fillId="15" borderId="194" xfId="12" applyNumberFormat="1" applyFont="1" applyFill="1" applyBorder="1" applyAlignment="1">
      <alignment horizontal="right" vertical="center"/>
    </xf>
    <xf numFmtId="0" fontId="6" fillId="15" borderId="29" xfId="12" applyFont="1" applyFill="1" applyBorder="1" applyAlignment="1">
      <alignment horizontal="center" vertical="center" shrinkToFit="1"/>
    </xf>
    <xf numFmtId="185" fontId="6" fillId="15" borderId="30" xfId="12" applyNumberFormat="1" applyFont="1" applyFill="1" applyBorder="1" applyAlignment="1">
      <alignment vertical="center"/>
    </xf>
    <xf numFmtId="185" fontId="6" fillId="15" borderId="233" xfId="12" applyNumberFormat="1" applyFont="1" applyFill="1" applyBorder="1" applyAlignment="1">
      <alignment vertical="center"/>
    </xf>
    <xf numFmtId="182" fontId="6" fillId="15" borderId="206" xfId="12" applyNumberFormat="1" applyFont="1" applyFill="1" applyBorder="1" applyAlignment="1">
      <alignment horizontal="right" vertical="center"/>
    </xf>
    <xf numFmtId="185" fontId="6" fillId="0" borderId="203" xfId="12" applyNumberFormat="1" applyFont="1" applyBorder="1" applyAlignment="1">
      <alignment horizontal="right" vertical="center"/>
    </xf>
    <xf numFmtId="185" fontId="6" fillId="15" borderId="25" xfId="12" applyNumberFormat="1" applyFont="1" applyFill="1" applyBorder="1" applyAlignment="1">
      <alignment vertical="center"/>
    </xf>
    <xf numFmtId="186" fontId="6" fillId="15" borderId="225" xfId="12" applyNumberFormat="1" applyFont="1" applyFill="1" applyBorder="1" applyAlignment="1">
      <alignment horizontal="right" vertical="center"/>
    </xf>
    <xf numFmtId="185" fontId="6" fillId="0" borderId="226" xfId="12" applyNumberFormat="1" applyFont="1" applyBorder="1" applyAlignment="1">
      <alignment horizontal="right" vertical="center"/>
    </xf>
    <xf numFmtId="186" fontId="6" fillId="15" borderId="52" xfId="12" applyNumberFormat="1" applyFont="1" applyFill="1" applyBorder="1" applyAlignment="1">
      <alignment horizontal="right" vertical="center"/>
    </xf>
    <xf numFmtId="185" fontId="6" fillId="15" borderId="167" xfId="12" applyNumberFormat="1" applyFont="1" applyFill="1" applyBorder="1" applyAlignment="1">
      <alignment horizontal="right" vertical="center"/>
    </xf>
    <xf numFmtId="0" fontId="6" fillId="15" borderId="26" xfId="12" applyFont="1" applyFill="1" applyBorder="1" applyAlignment="1">
      <alignment horizontal="center" vertical="center"/>
    </xf>
    <xf numFmtId="185" fontId="6" fillId="15" borderId="19" xfId="12" applyNumberFormat="1" applyFont="1" applyFill="1" applyBorder="1" applyAlignment="1">
      <alignment vertical="center"/>
    </xf>
    <xf numFmtId="185" fontId="6" fillId="15" borderId="33" xfId="12" applyNumberFormat="1" applyFont="1" applyFill="1" applyBorder="1" applyAlignment="1">
      <alignment vertical="center"/>
    </xf>
    <xf numFmtId="178" fontId="6" fillId="15" borderId="22" xfId="12" applyNumberFormat="1" applyFont="1" applyFill="1" applyBorder="1" applyAlignment="1">
      <alignment horizontal="right" vertical="center"/>
    </xf>
    <xf numFmtId="185" fontId="6" fillId="0" borderId="23" xfId="12" applyNumberFormat="1" applyFont="1" applyBorder="1" applyAlignment="1">
      <alignment horizontal="right" vertical="center"/>
    </xf>
    <xf numFmtId="0" fontId="0" fillId="0" borderId="0" xfId="0" applyAlignment="1">
      <alignment horizontal="left" vertical="center"/>
    </xf>
    <xf numFmtId="0" fontId="6" fillId="15" borderId="29" xfId="12" applyFont="1" applyFill="1" applyBorder="1" applyAlignment="1">
      <alignment horizontal="center" vertical="center"/>
    </xf>
    <xf numFmtId="185" fontId="6" fillId="15" borderId="31" xfId="12" applyNumberFormat="1" applyFont="1" applyFill="1" applyBorder="1" applyAlignment="1">
      <alignment vertical="center"/>
    </xf>
    <xf numFmtId="185" fontId="6" fillId="0" borderId="57" xfId="12" applyNumberFormat="1" applyFont="1" applyBorder="1" applyAlignment="1">
      <alignment horizontal="right" vertical="center"/>
    </xf>
    <xf numFmtId="185" fontId="6" fillId="15" borderId="12" xfId="12" applyNumberFormat="1" applyFont="1" applyFill="1" applyBorder="1" applyAlignment="1">
      <alignment vertical="center"/>
    </xf>
    <xf numFmtId="0" fontId="6" fillId="15" borderId="18" xfId="12" applyFont="1" applyFill="1" applyBorder="1" applyAlignment="1">
      <alignment horizontal="center" vertical="center"/>
    </xf>
    <xf numFmtId="3" fontId="6" fillId="15" borderId="20" xfId="12" applyNumberFormat="1" applyFont="1" applyFill="1" applyBorder="1" applyAlignment="1">
      <alignment horizontal="center" vertical="center"/>
    </xf>
    <xf numFmtId="3" fontId="6" fillId="15" borderId="33" xfId="12" applyNumberFormat="1" applyFont="1" applyFill="1" applyBorder="1" applyAlignment="1">
      <alignment vertical="center"/>
    </xf>
    <xf numFmtId="178" fontId="6" fillId="15" borderId="34" xfId="12" applyNumberFormat="1" applyFont="1" applyFill="1" applyBorder="1" applyAlignment="1">
      <alignment horizontal="right" vertical="center"/>
    </xf>
    <xf numFmtId="185" fontId="6" fillId="0" borderId="58" xfId="12" applyNumberFormat="1" applyFont="1" applyBorder="1" applyAlignment="1">
      <alignment horizontal="right" vertical="center"/>
    </xf>
    <xf numFmtId="185" fontId="6" fillId="0" borderId="197" xfId="12" applyNumberFormat="1" applyFont="1" applyBorder="1" applyAlignment="1">
      <alignment vertical="center"/>
    </xf>
    <xf numFmtId="178" fontId="6" fillId="0" borderId="200" xfId="12" applyNumberFormat="1" applyFont="1" applyBorder="1" applyAlignment="1">
      <alignment horizontal="right" vertical="center"/>
    </xf>
    <xf numFmtId="0" fontId="6" fillId="0" borderId="107" xfId="12" applyFont="1" applyBorder="1" applyAlignment="1">
      <alignment vertical="center" wrapText="1"/>
    </xf>
    <xf numFmtId="0" fontId="6" fillId="0" borderId="108" xfId="12" applyFont="1" applyBorder="1" applyAlignment="1">
      <alignment horizontal="center" vertical="center" wrapText="1"/>
    </xf>
    <xf numFmtId="0" fontId="6" fillId="15" borderId="103" xfId="12" applyFont="1" applyFill="1" applyBorder="1" applyAlignment="1">
      <alignment horizontal="center" vertical="center" wrapText="1"/>
    </xf>
    <xf numFmtId="0" fontId="10" fillId="0" borderId="102" xfId="12" applyFont="1" applyBorder="1" applyAlignment="1">
      <alignment horizontal="center" vertical="center"/>
    </xf>
    <xf numFmtId="176" fontId="6" fillId="0" borderId="117" xfId="12" applyNumberFormat="1" applyFont="1" applyBorder="1" applyAlignment="1">
      <alignment horizontal="center" vertical="center"/>
    </xf>
    <xf numFmtId="3" fontId="6" fillId="0" borderId="117" xfId="12" applyNumberFormat="1" applyFont="1" applyBorder="1" applyAlignment="1">
      <alignment horizontal="right" vertical="center"/>
    </xf>
    <xf numFmtId="0" fontId="6" fillId="15" borderId="0" xfId="12" applyFont="1" applyFill="1" applyAlignment="1">
      <alignment horizontal="center" vertical="center" wrapText="1"/>
    </xf>
    <xf numFmtId="0" fontId="86" fillId="0" borderId="7" xfId="12" applyFont="1" applyBorder="1" applyAlignment="1">
      <alignment horizontal="left" vertical="center"/>
    </xf>
    <xf numFmtId="0" fontId="9" fillId="0" borderId="7" xfId="12" applyFont="1" applyBorder="1" applyAlignment="1">
      <alignment horizontal="distributed" vertical="center" wrapText="1"/>
    </xf>
    <xf numFmtId="0" fontId="10" fillId="0" borderId="7" xfId="12" applyFont="1" applyBorder="1" applyAlignment="1">
      <alignment horizontal="right" vertical="center" indent="1" shrinkToFit="1"/>
    </xf>
    <xf numFmtId="0" fontId="6" fillId="15" borderId="7" xfId="12" applyFont="1" applyFill="1" applyBorder="1" applyAlignment="1">
      <alignment vertical="center" wrapText="1"/>
    </xf>
    <xf numFmtId="3" fontId="6" fillId="0" borderId="7" xfId="12" applyNumberFormat="1" applyFont="1" applyBorder="1" applyAlignment="1">
      <alignment horizontal="right" vertical="center"/>
    </xf>
    <xf numFmtId="3" fontId="7" fillId="0" borderId="0" xfId="12" applyNumberFormat="1" applyFont="1" applyAlignment="1">
      <alignment horizontal="right" vertical="center"/>
    </xf>
    <xf numFmtId="0" fontId="10" fillId="13" borderId="91" xfId="12" applyFont="1" applyFill="1" applyBorder="1" applyProtection="1">
      <protection locked="0"/>
    </xf>
    <xf numFmtId="0" fontId="25" fillId="0" borderId="0" xfId="0" applyFont="1" applyAlignment="1">
      <alignment horizontal="left" vertical="center"/>
    </xf>
    <xf numFmtId="0" fontId="26" fillId="3" borderId="61" xfId="0" applyFont="1" applyFill="1" applyBorder="1" applyAlignment="1">
      <alignment horizontal="center" vertical="center"/>
    </xf>
    <xf numFmtId="0" fontId="26" fillId="0" borderId="0" xfId="0" applyFont="1" applyAlignment="1">
      <alignment horizontal="left" vertical="center"/>
    </xf>
    <xf numFmtId="0" fontId="27" fillId="0" borderId="13" xfId="0" applyFont="1" applyBorder="1" applyAlignment="1">
      <alignment horizontal="left" vertical="center"/>
    </xf>
    <xf numFmtId="0" fontId="27" fillId="0" borderId="16" xfId="0" applyFont="1" applyBorder="1" applyAlignment="1">
      <alignment horizontal="left" vertical="center"/>
    </xf>
    <xf numFmtId="0" fontId="29" fillId="0" borderId="0" xfId="0" applyFont="1">
      <alignment vertical="center"/>
    </xf>
    <xf numFmtId="0" fontId="30" fillId="0" borderId="0" xfId="0" applyFont="1" applyAlignment="1">
      <alignment horizontal="left" vertical="center"/>
    </xf>
    <xf numFmtId="0" fontId="89" fillId="0" borderId="0" xfId="0" applyFont="1" applyAlignment="1">
      <alignment horizontal="left" vertical="center"/>
    </xf>
    <xf numFmtId="0" fontId="30" fillId="0" borderId="0" xfId="0" applyFont="1">
      <alignment vertical="center"/>
    </xf>
    <xf numFmtId="0" fontId="27" fillId="0" borderId="0" xfId="0" applyFont="1" applyAlignment="1">
      <alignment horizontal="left" vertical="center"/>
    </xf>
    <xf numFmtId="0" fontId="66" fillId="0" borderId="0" xfId="0" applyFont="1" applyAlignment="1">
      <alignment horizontal="center" vertical="center"/>
    </xf>
    <xf numFmtId="0" fontId="25" fillId="0" borderId="0" xfId="0" applyFont="1" applyAlignment="1">
      <alignment horizontal="center" vertical="center"/>
    </xf>
    <xf numFmtId="0" fontId="90"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30" fillId="17" borderId="0" xfId="0" applyFont="1" applyFill="1" applyAlignment="1">
      <alignment horizontal="center" vertical="center" shrinkToFit="1"/>
    </xf>
    <xf numFmtId="0" fontId="25" fillId="0" borderId="5" xfId="0" applyFont="1" applyBorder="1" applyAlignment="1">
      <alignment horizontal="left" vertical="center"/>
    </xf>
    <xf numFmtId="0" fontId="27" fillId="4" borderId="28" xfId="0" applyFont="1" applyFill="1" applyBorder="1" applyAlignment="1">
      <alignment horizontal="left" vertical="center"/>
    </xf>
    <xf numFmtId="0" fontId="0" fillId="4" borderId="62" xfId="0" applyFill="1" applyBorder="1">
      <alignment vertical="center"/>
    </xf>
    <xf numFmtId="0" fontId="27" fillId="4" borderId="62" xfId="0" applyFont="1" applyFill="1" applyBorder="1" applyAlignment="1">
      <alignment horizontal="left" vertical="center"/>
    </xf>
    <xf numFmtId="0" fontId="27" fillId="4" borderId="8" xfId="0" applyFont="1" applyFill="1" applyBorder="1" applyAlignment="1">
      <alignment horizontal="left" vertical="center"/>
    </xf>
    <xf numFmtId="0" fontId="30" fillId="4" borderId="28" xfId="0" applyFont="1" applyFill="1" applyBorder="1">
      <alignment vertical="center"/>
    </xf>
    <xf numFmtId="0" fontId="29" fillId="4" borderId="7" xfId="0" applyFont="1" applyFill="1" applyBorder="1">
      <alignment vertical="center"/>
    </xf>
    <xf numFmtId="0" fontId="30" fillId="4" borderId="7" xfId="0" applyFont="1" applyFill="1" applyBorder="1">
      <alignment vertical="center"/>
    </xf>
    <xf numFmtId="188" fontId="29" fillId="4" borderId="7" xfId="0" applyNumberFormat="1" applyFont="1" applyFill="1" applyBorder="1">
      <alignment vertical="center"/>
    </xf>
    <xf numFmtId="188" fontId="29" fillId="4" borderId="8" xfId="0" applyNumberFormat="1" applyFont="1" applyFill="1" applyBorder="1">
      <alignment vertical="center"/>
    </xf>
    <xf numFmtId="0" fontId="30" fillId="4" borderId="28" xfId="0" applyFont="1" applyFill="1" applyBorder="1" applyAlignment="1">
      <alignment horizontal="left" vertical="center"/>
    </xf>
    <xf numFmtId="0" fontId="30" fillId="4" borderId="7" xfId="0" applyFont="1" applyFill="1" applyBorder="1" applyAlignment="1">
      <alignment horizontal="left" vertical="center"/>
    </xf>
    <xf numFmtId="0" fontId="30" fillId="4" borderId="29" xfId="0" applyFont="1" applyFill="1" applyBorder="1" applyAlignment="1">
      <alignment horizontal="left" vertical="center"/>
    </xf>
    <xf numFmtId="0" fontId="30" fillId="4" borderId="70" xfId="0" applyFont="1" applyFill="1" applyBorder="1" applyAlignment="1">
      <alignment horizontal="left" vertical="center"/>
    </xf>
    <xf numFmtId="0" fontId="30" fillId="4" borderId="61" xfId="0" applyFont="1" applyFill="1" applyBorder="1" applyAlignment="1">
      <alignment horizontal="left" vertical="center"/>
    </xf>
    <xf numFmtId="0" fontId="30" fillId="4" borderId="71" xfId="0" applyFont="1" applyFill="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1" xfId="0" applyFont="1" applyBorder="1" applyAlignment="1">
      <alignment horizontal="center" vertical="center"/>
    </xf>
    <xf numFmtId="0" fontId="32" fillId="0" borderId="61" xfId="0" applyFont="1" applyBorder="1" applyAlignment="1">
      <alignment horizontal="center" vertical="center"/>
    </xf>
    <xf numFmtId="0" fontId="27" fillId="4" borderId="15" xfId="0" applyFont="1" applyFill="1" applyBorder="1" applyAlignment="1">
      <alignment horizontal="left" vertical="center"/>
    </xf>
    <xf numFmtId="0" fontId="27" fillId="4" borderId="3" xfId="0" applyFont="1" applyFill="1" applyBorder="1">
      <alignment vertical="center"/>
    </xf>
    <xf numFmtId="0" fontId="27" fillId="4" borderId="13" xfId="0" applyFont="1" applyFill="1" applyBorder="1">
      <alignment vertical="center"/>
    </xf>
    <xf numFmtId="0" fontId="27" fillId="4" borderId="13" xfId="0" applyFont="1" applyFill="1" applyBorder="1" applyAlignment="1">
      <alignment horizontal="left" vertical="center"/>
    </xf>
    <xf numFmtId="0" fontId="27" fillId="4" borderId="16" xfId="0" applyFont="1" applyFill="1" applyBorder="1" applyAlignment="1">
      <alignment horizontal="left" vertical="center"/>
    </xf>
    <xf numFmtId="0" fontId="30" fillId="4" borderId="15" xfId="0" applyFont="1" applyFill="1" applyBorder="1">
      <alignment vertical="center"/>
    </xf>
    <xf numFmtId="0" fontId="30" fillId="4" borderId="13" xfId="0" applyFont="1" applyFill="1" applyBorder="1">
      <alignment vertical="center"/>
    </xf>
    <xf numFmtId="0" fontId="29" fillId="4" borderId="13" xfId="0" applyFont="1" applyFill="1" applyBorder="1">
      <alignment vertical="center"/>
    </xf>
    <xf numFmtId="188" fontId="29" fillId="4" borderId="13" xfId="0" applyNumberFormat="1" applyFont="1" applyFill="1" applyBorder="1">
      <alignment vertical="center"/>
    </xf>
    <xf numFmtId="188" fontId="29" fillId="4" borderId="16" xfId="0" applyNumberFormat="1" applyFont="1" applyFill="1" applyBorder="1">
      <alignment vertical="center"/>
    </xf>
    <xf numFmtId="0" fontId="30" fillId="4" borderId="15" xfId="0" applyFont="1" applyFill="1" applyBorder="1" applyAlignment="1">
      <alignment horizontal="left" vertical="center"/>
    </xf>
    <xf numFmtId="0" fontId="30" fillId="4" borderId="13" xfId="0" applyFont="1" applyFill="1" applyBorder="1" applyAlignment="1">
      <alignment horizontal="left" vertical="center"/>
    </xf>
    <xf numFmtId="0" fontId="30" fillId="4" borderId="16" xfId="0" applyFont="1" applyFill="1" applyBorder="1" applyAlignment="1">
      <alignment horizontal="left" vertical="center"/>
    </xf>
    <xf numFmtId="0" fontId="91" fillId="0" borderId="61" xfId="0" applyFont="1" applyBorder="1" applyAlignment="1">
      <alignment horizontal="center" vertical="center" wrapText="1"/>
    </xf>
    <xf numFmtId="0" fontId="28" fillId="4" borderId="15" xfId="0" applyFont="1" applyFill="1" applyBorder="1">
      <alignment vertical="center"/>
    </xf>
    <xf numFmtId="0" fontId="0" fillId="4" borderId="13" xfId="0" applyFill="1" applyBorder="1">
      <alignment vertical="center"/>
    </xf>
    <xf numFmtId="0" fontId="82" fillId="4" borderId="13" xfId="0" applyFont="1" applyFill="1" applyBorder="1" applyAlignment="1">
      <alignment vertical="center" wrapText="1"/>
    </xf>
    <xf numFmtId="0" fontId="30" fillId="14" borderId="150" xfId="0" applyFont="1" applyFill="1" applyBorder="1" applyAlignment="1">
      <alignment horizontal="center" vertical="center"/>
    </xf>
    <xf numFmtId="0" fontId="29" fillId="14" borderId="157" xfId="0" applyFont="1" applyFill="1" applyBorder="1" applyAlignment="1">
      <alignment horizontal="center" vertical="center"/>
    </xf>
    <xf numFmtId="0" fontId="30" fillId="14" borderId="157" xfId="0" applyFont="1" applyFill="1" applyBorder="1" applyAlignment="1">
      <alignment horizontal="center" vertical="center"/>
    </xf>
    <xf numFmtId="188" fontId="29" fillId="14" borderId="157" xfId="0" applyNumberFormat="1" applyFont="1" applyFill="1" applyBorder="1" applyAlignment="1">
      <alignment horizontal="right" vertical="center"/>
    </xf>
    <xf numFmtId="0" fontId="29" fillId="14" borderId="169" xfId="0" applyFont="1" applyFill="1" applyBorder="1" applyAlignment="1">
      <alignment horizontal="right" vertical="center"/>
    </xf>
    <xf numFmtId="188" fontId="29" fillId="14" borderId="150" xfId="0" applyNumberFormat="1" applyFont="1" applyFill="1" applyBorder="1" applyAlignment="1">
      <alignment horizontal="right" vertical="center"/>
    </xf>
    <xf numFmtId="0" fontId="29" fillId="14" borderId="159" xfId="0" applyFont="1" applyFill="1" applyBorder="1" applyAlignment="1">
      <alignment horizontal="right" vertical="center"/>
    </xf>
    <xf numFmtId="0" fontId="30" fillId="14" borderId="186" xfId="0" applyFont="1" applyFill="1" applyBorder="1" applyAlignment="1">
      <alignment horizontal="left" vertical="center"/>
    </xf>
    <xf numFmtId="0" fontId="29" fillId="14" borderId="150" xfId="0" applyFont="1" applyFill="1" applyBorder="1" applyAlignment="1">
      <alignment horizontal="center" vertical="center"/>
    </xf>
    <xf numFmtId="0" fontId="29" fillId="14" borderId="169" xfId="0" applyFont="1" applyFill="1" applyBorder="1" applyAlignment="1">
      <alignment horizontal="center" vertical="center"/>
    </xf>
    <xf numFmtId="0" fontId="29" fillId="14" borderId="180" xfId="0" applyFont="1" applyFill="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0" fillId="4" borderId="3" xfId="0" applyFill="1" applyBorder="1">
      <alignment vertical="center"/>
    </xf>
    <xf numFmtId="0" fontId="82" fillId="4" borderId="3" xfId="0" applyFont="1" applyFill="1" applyBorder="1" applyAlignment="1">
      <alignment vertical="center" wrapText="1"/>
    </xf>
    <xf numFmtId="0" fontId="82" fillId="4" borderId="4" xfId="0" applyFont="1" applyFill="1" applyBorder="1" applyAlignment="1">
      <alignment vertical="center" wrapText="1"/>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5" fillId="0" borderId="61" xfId="0" applyFont="1" applyBorder="1" applyAlignment="1">
      <alignment horizontal="center" vertical="center"/>
    </xf>
    <xf numFmtId="0" fontId="67" fillId="4" borderId="13" xfId="0" applyFont="1" applyFill="1" applyBorder="1">
      <alignment vertical="center"/>
    </xf>
    <xf numFmtId="0" fontId="25" fillId="14" borderId="15" xfId="0" applyFont="1" applyFill="1" applyBorder="1" applyAlignment="1">
      <alignment horizontal="left" vertical="center"/>
    </xf>
    <xf numFmtId="0" fontId="25" fillId="14" borderId="13" xfId="0" applyFont="1" applyFill="1" applyBorder="1" applyAlignment="1">
      <alignment horizontal="left" vertical="center"/>
    </xf>
    <xf numFmtId="0" fontId="25" fillId="14" borderId="16" xfId="0" applyFont="1" applyFill="1" applyBorder="1" applyAlignment="1">
      <alignment horizontal="left" vertical="center"/>
    </xf>
    <xf numFmtId="0" fontId="30" fillId="0" borderId="63" xfId="0" applyFont="1" applyBorder="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27" fillId="15" borderId="178" xfId="0" applyFont="1" applyFill="1" applyBorder="1" applyAlignment="1">
      <alignment horizontal="left" vertical="center"/>
    </xf>
    <xf numFmtId="0" fontId="25" fillId="0" borderId="137" xfId="0" applyFont="1" applyBorder="1" applyAlignment="1">
      <alignment horizontal="left" vertical="center"/>
    </xf>
    <xf numFmtId="0" fontId="30" fillId="0" borderId="0" xfId="0" applyFont="1" applyAlignment="1">
      <alignment horizontal="center" vertical="center"/>
    </xf>
    <xf numFmtId="0" fontId="25" fillId="0" borderId="147" xfId="0" applyFont="1" applyBorder="1" applyAlignment="1">
      <alignment horizontal="left" vertical="center"/>
    </xf>
    <xf numFmtId="0" fontId="25" fillId="0" borderId="127" xfId="0" applyFont="1" applyBorder="1" applyAlignment="1">
      <alignment horizontal="left" vertical="center"/>
    </xf>
    <xf numFmtId="0" fontId="25" fillId="0" borderId="161" xfId="0" applyFont="1" applyBorder="1" applyAlignment="1">
      <alignment horizontal="left" vertical="center"/>
    </xf>
    <xf numFmtId="0" fontId="25" fillId="0" borderId="1" xfId="0" applyFont="1" applyBorder="1" applyAlignment="1">
      <alignment horizontal="left" vertical="center"/>
    </xf>
    <xf numFmtId="0" fontId="25" fillId="0" borderId="64" xfId="0" applyFont="1" applyBorder="1" applyAlignment="1">
      <alignment horizontal="left" vertical="center"/>
    </xf>
    <xf numFmtId="0" fontId="25" fillId="0" borderId="65" xfId="0" applyFont="1" applyBorder="1" applyAlignment="1">
      <alignment horizontal="left" vertical="center"/>
    </xf>
    <xf numFmtId="0" fontId="25" fillId="0" borderId="66" xfId="0" applyFont="1" applyBorder="1" applyAlignment="1">
      <alignment horizontal="left" vertical="center"/>
    </xf>
    <xf numFmtId="0" fontId="26" fillId="15" borderId="178" xfId="0" applyFont="1" applyFill="1" applyBorder="1" applyAlignment="1">
      <alignment horizontal="left" vertical="center" wrapText="1"/>
    </xf>
    <xf numFmtId="0" fontId="25" fillId="0" borderId="141" xfId="0" applyFont="1" applyBorder="1" applyAlignment="1">
      <alignment horizontal="left" vertical="center"/>
    </xf>
    <xf numFmtId="0" fontId="25" fillId="0" borderId="126" xfId="0" applyFont="1" applyBorder="1" applyAlignment="1">
      <alignment horizontal="left" vertical="center"/>
    </xf>
    <xf numFmtId="0" fontId="25" fillId="0" borderId="128" xfId="0" applyFont="1" applyBorder="1" applyAlignment="1">
      <alignment horizontal="left" vertical="center"/>
    </xf>
    <xf numFmtId="0" fontId="25" fillId="0" borderId="160" xfId="0" applyFont="1" applyBorder="1" applyAlignment="1">
      <alignment horizontal="left" vertical="center"/>
    </xf>
    <xf numFmtId="0" fontId="25" fillId="0" borderId="1" xfId="0" applyFont="1" applyBorder="1" applyAlignment="1">
      <alignment horizontal="center" vertical="center"/>
    </xf>
    <xf numFmtId="0" fontId="25" fillId="0" borderId="0" xfId="0" applyFont="1">
      <alignment vertical="center"/>
    </xf>
    <xf numFmtId="0" fontId="25" fillId="0" borderId="61" xfId="0" applyFont="1" applyBorder="1" applyAlignment="1">
      <alignment horizontal="left" vertical="center"/>
    </xf>
    <xf numFmtId="0" fontId="31" fillId="0" borderId="61" xfId="0" applyFont="1" applyBorder="1" applyAlignment="1">
      <alignment horizontal="left" vertical="center" wrapText="1"/>
    </xf>
    <xf numFmtId="0" fontId="31" fillId="0" borderId="61" xfId="0" applyFont="1" applyBorder="1" applyAlignment="1">
      <alignment horizontal="center" vertical="center"/>
    </xf>
    <xf numFmtId="192" fontId="6" fillId="0" borderId="0" xfId="18" applyNumberFormat="1" applyFont="1" applyFill="1" applyBorder="1" applyAlignment="1" applyProtection="1">
      <alignment horizontal="center" vertical="center"/>
    </xf>
    <xf numFmtId="0" fontId="87" fillId="0" borderId="0" xfId="10" applyFont="1" applyAlignment="1">
      <alignment horizontal="right" vertical="center"/>
    </xf>
    <xf numFmtId="0" fontId="6" fillId="15" borderId="0" xfId="10" applyFont="1" applyFill="1" applyAlignment="1">
      <alignment horizontal="left" vertical="top" wrapText="1"/>
    </xf>
    <xf numFmtId="0" fontId="10" fillId="0" borderId="0" xfId="14" applyFont="1" applyAlignment="1">
      <alignment horizontal="distributed" vertical="center" wrapText="1"/>
    </xf>
    <xf numFmtId="0" fontId="10" fillId="13" borderId="0" xfId="14" applyFont="1" applyFill="1" applyAlignment="1" applyProtection="1">
      <alignment vertical="center" wrapText="1"/>
      <protection locked="0"/>
    </xf>
    <xf numFmtId="0" fontId="10" fillId="0" borderId="0" xfId="14" applyFont="1" applyAlignment="1">
      <alignment horizontal="distributed" vertical="center"/>
    </xf>
    <xf numFmtId="0" fontId="7" fillId="0" borderId="0" xfId="14">
      <alignment vertical="center"/>
    </xf>
    <xf numFmtId="0" fontId="10" fillId="13" borderId="0" xfId="14" applyFont="1" applyFill="1" applyAlignment="1" applyProtection="1">
      <alignment vertical="center" shrinkToFit="1"/>
      <protection locked="0"/>
    </xf>
    <xf numFmtId="0" fontId="7" fillId="13" borderId="0" xfId="14" applyFill="1" applyAlignment="1" applyProtection="1">
      <alignment vertical="center" shrinkToFit="1"/>
      <protection locked="0"/>
    </xf>
    <xf numFmtId="0" fontId="10" fillId="13" borderId="0" xfId="14" applyFont="1" applyFill="1" applyAlignment="1" applyProtection="1">
      <alignment vertical="top"/>
      <protection locked="0"/>
    </xf>
    <xf numFmtId="0" fontId="6" fillId="0" borderId="0" xfId="14" applyFont="1" applyAlignment="1">
      <alignment horizontal="right"/>
    </xf>
    <xf numFmtId="0" fontId="6" fillId="0" borderId="1" xfId="14" applyFont="1" applyBorder="1" applyAlignment="1">
      <alignment horizontal="right"/>
    </xf>
    <xf numFmtId="0" fontId="6" fillId="0" borderId="7" xfId="14" applyFont="1" applyBorder="1" applyAlignment="1">
      <alignment horizontal="right"/>
    </xf>
    <xf numFmtId="0" fontId="6" fillId="0" borderId="8" xfId="14" applyFont="1" applyBorder="1" applyAlignment="1">
      <alignment horizontal="right"/>
    </xf>
    <xf numFmtId="0" fontId="10" fillId="0" borderId="3" xfId="14" applyFont="1" applyBorder="1" applyAlignment="1">
      <alignment horizontal="distributed" vertical="center"/>
    </xf>
    <xf numFmtId="0" fontId="10" fillId="0" borderId="7" xfId="14" applyFont="1" applyBorder="1" applyAlignment="1">
      <alignment horizontal="distributed" vertical="center"/>
    </xf>
    <xf numFmtId="0" fontId="10" fillId="0" borderId="15" xfId="14" applyFont="1" applyBorder="1">
      <alignment vertical="center"/>
    </xf>
    <xf numFmtId="0" fontId="10" fillId="0" borderId="13" xfId="14" applyFont="1" applyBorder="1">
      <alignment vertical="center"/>
    </xf>
    <xf numFmtId="0" fontId="10" fillId="0" borderId="16" xfId="14" applyFont="1" applyBorder="1">
      <alignment vertical="center"/>
    </xf>
    <xf numFmtId="0" fontId="10" fillId="13" borderId="2" xfId="14" applyFont="1" applyFill="1" applyBorder="1" applyAlignment="1" applyProtection="1">
      <alignment horizontal="left" vertical="center" shrinkToFit="1"/>
      <protection locked="0"/>
    </xf>
    <xf numFmtId="0" fontId="10" fillId="13" borderId="3" xfId="14" applyFont="1" applyFill="1" applyBorder="1" applyAlignment="1" applyProtection="1">
      <alignment horizontal="left" vertical="center" shrinkToFit="1"/>
      <protection locked="0"/>
    </xf>
    <xf numFmtId="0" fontId="10" fillId="13" borderId="4" xfId="14" applyFont="1" applyFill="1" applyBorder="1" applyAlignment="1" applyProtection="1">
      <alignment horizontal="left" vertical="center" shrinkToFit="1"/>
      <protection locked="0"/>
    </xf>
    <xf numFmtId="0" fontId="10" fillId="13" borderId="12" xfId="14" applyFont="1" applyFill="1" applyBorder="1" applyAlignment="1" applyProtection="1">
      <alignment horizontal="left" vertical="center" shrinkToFit="1"/>
      <protection locked="0"/>
    </xf>
    <xf numFmtId="0" fontId="17" fillId="13" borderId="12" xfId="3" applyFill="1" applyBorder="1" applyAlignment="1" applyProtection="1">
      <alignment horizontal="left" vertical="center" shrinkToFit="1"/>
      <protection locked="0"/>
    </xf>
    <xf numFmtId="187" fontId="10" fillId="13" borderId="2" xfId="14" applyNumberFormat="1" applyFont="1" applyFill="1" applyBorder="1" applyAlignment="1" applyProtection="1">
      <alignment horizontal="left" vertical="center"/>
      <protection locked="0"/>
    </xf>
    <xf numFmtId="187" fontId="10" fillId="13" borderId="3" xfId="14" applyNumberFormat="1" applyFont="1" applyFill="1" applyBorder="1" applyAlignment="1" applyProtection="1">
      <alignment horizontal="left" vertical="center"/>
      <protection locked="0"/>
    </xf>
    <xf numFmtId="187" fontId="10" fillId="13" borderId="4" xfId="14" applyNumberFormat="1" applyFont="1" applyFill="1" applyBorder="1" applyAlignment="1" applyProtection="1">
      <alignment horizontal="left" vertical="center"/>
      <protection locked="0"/>
    </xf>
    <xf numFmtId="187" fontId="10" fillId="13" borderId="6" xfId="14" applyNumberFormat="1" applyFont="1" applyFill="1" applyBorder="1" applyAlignment="1" applyProtection="1">
      <alignment horizontal="left" vertical="center"/>
      <protection locked="0"/>
    </xf>
    <xf numFmtId="187" fontId="10" fillId="13" borderId="7" xfId="14" applyNumberFormat="1" applyFont="1" applyFill="1" applyBorder="1" applyAlignment="1" applyProtection="1">
      <alignment horizontal="left" vertical="center"/>
      <protection locked="0"/>
    </xf>
    <xf numFmtId="187" fontId="10" fillId="13" borderId="8" xfId="14" applyNumberFormat="1" applyFont="1" applyFill="1" applyBorder="1" applyAlignment="1" applyProtection="1">
      <alignment horizontal="left" vertical="center"/>
      <protection locked="0"/>
    </xf>
    <xf numFmtId="0" fontId="10" fillId="0" borderId="0" xfId="14" applyFont="1" applyAlignment="1">
      <alignment horizontal="justify" vertical="center" wrapText="1"/>
    </xf>
    <xf numFmtId="0" fontId="10" fillId="13" borderId="2" xfId="14" applyFont="1" applyFill="1" applyBorder="1" applyAlignment="1" applyProtection="1">
      <alignment horizontal="right" vertical="center" shrinkToFit="1"/>
      <protection locked="0"/>
    </xf>
    <xf numFmtId="0" fontId="7" fillId="13" borderId="3" xfId="14" applyFill="1" applyBorder="1" applyAlignment="1" applyProtection="1">
      <alignment horizontal="right" vertical="center" shrinkToFit="1"/>
      <protection locked="0"/>
    </xf>
    <xf numFmtId="0" fontId="7" fillId="13" borderId="6" xfId="14" applyFill="1" applyBorder="1" applyAlignment="1" applyProtection="1">
      <alignment horizontal="right" vertical="center" shrinkToFit="1"/>
      <protection locked="0"/>
    </xf>
    <xf numFmtId="0" fontId="7" fillId="13" borderId="7" xfId="14" applyFill="1" applyBorder="1" applyAlignment="1" applyProtection="1">
      <alignment horizontal="right" vertical="center" shrinkToFit="1"/>
      <protection locked="0"/>
    </xf>
    <xf numFmtId="0" fontId="22" fillId="0" borderId="0" xfId="14" applyFont="1" applyAlignment="1">
      <alignment horizontal="center" vertical="center"/>
    </xf>
    <xf numFmtId="0" fontId="10" fillId="13" borderId="3" xfId="14" applyFont="1" applyFill="1" applyBorder="1" applyAlignment="1" applyProtection="1">
      <alignment horizontal="center" vertical="center" shrinkToFit="1"/>
      <protection locked="0"/>
    </xf>
    <xf numFmtId="0" fontId="7" fillId="13" borderId="7" xfId="14" applyFill="1" applyBorder="1" applyAlignment="1" applyProtection="1">
      <alignment horizontal="center" vertical="center" shrinkToFit="1"/>
      <protection locked="0"/>
    </xf>
    <xf numFmtId="0" fontId="10" fillId="13" borderId="6" xfId="14" applyFont="1" applyFill="1" applyBorder="1" applyAlignment="1" applyProtection="1">
      <alignment horizontal="left" vertical="center" shrinkToFit="1"/>
      <protection locked="0"/>
    </xf>
    <xf numFmtId="0" fontId="10" fillId="13" borderId="7" xfId="14" applyFont="1" applyFill="1" applyBorder="1" applyAlignment="1" applyProtection="1">
      <alignment horizontal="left" vertical="center" shrinkToFit="1"/>
      <protection locked="0"/>
    </xf>
    <xf numFmtId="0" fontId="10" fillId="13" borderId="8" xfId="14" applyFont="1" applyFill="1" applyBorder="1" applyAlignment="1" applyProtection="1">
      <alignment horizontal="left" vertical="center" shrinkToFit="1"/>
      <protection locked="0"/>
    </xf>
    <xf numFmtId="0" fontId="10" fillId="0" borderId="2" xfId="14" applyFont="1" applyBorder="1" applyAlignment="1">
      <alignment vertical="center" wrapText="1"/>
    </xf>
    <xf numFmtId="0" fontId="10" fillId="0" borderId="3" xfId="14" applyFont="1" applyBorder="1" applyAlignment="1">
      <alignment vertical="center" wrapText="1"/>
    </xf>
    <xf numFmtId="0" fontId="10" fillId="0" borderId="4" xfId="14" applyFont="1" applyBorder="1" applyAlignment="1">
      <alignment vertical="center" wrapText="1"/>
    </xf>
    <xf numFmtId="0" fontId="10" fillId="0" borderId="6" xfId="14" applyFont="1" applyBorder="1" applyAlignment="1">
      <alignment vertical="center" wrapText="1"/>
    </xf>
    <xf numFmtId="0" fontId="10" fillId="0" borderId="7" xfId="14" applyFont="1" applyBorder="1" applyAlignment="1">
      <alignment vertical="center" wrapText="1"/>
    </xf>
    <xf numFmtId="0" fontId="10" fillId="0" borderId="8" xfId="14" applyFont="1" applyBorder="1" applyAlignment="1">
      <alignment vertical="center" wrapText="1"/>
    </xf>
    <xf numFmtId="49" fontId="10" fillId="13" borderId="3" xfId="14" applyNumberFormat="1" applyFont="1" applyFill="1" applyBorder="1" applyAlignment="1" applyProtection="1">
      <alignment vertical="center" shrinkToFit="1"/>
      <protection locked="0"/>
    </xf>
    <xf numFmtId="49" fontId="7" fillId="13" borderId="3" xfId="14" applyNumberFormat="1" applyFill="1" applyBorder="1" applyAlignment="1" applyProtection="1">
      <alignment vertical="center" shrinkToFit="1"/>
      <protection locked="0"/>
    </xf>
    <xf numFmtId="49" fontId="7" fillId="13" borderId="4" xfId="14" applyNumberFormat="1" applyFill="1" applyBorder="1" applyAlignment="1" applyProtection="1">
      <alignment vertical="center" shrinkToFit="1"/>
      <protection locked="0"/>
    </xf>
    <xf numFmtId="49" fontId="7" fillId="13" borderId="7" xfId="14" applyNumberFormat="1" applyFill="1" applyBorder="1" applyAlignment="1" applyProtection="1">
      <alignment vertical="center" shrinkToFit="1"/>
      <protection locked="0"/>
    </xf>
    <xf numFmtId="49" fontId="7" fillId="13" borderId="8" xfId="14" applyNumberFormat="1" applyFill="1" applyBorder="1" applyAlignment="1" applyProtection="1">
      <alignment vertical="center" shrinkToFit="1"/>
      <protection locked="0"/>
    </xf>
    <xf numFmtId="0" fontId="6" fillId="0" borderId="74" xfId="10" applyFont="1" applyBorder="1" applyAlignment="1">
      <alignment horizontal="distributed" vertical="center" shrinkToFit="1"/>
    </xf>
    <xf numFmtId="0" fontId="6" fillId="13" borderId="47" xfId="10" applyFont="1" applyFill="1" applyBorder="1" applyAlignment="1" applyProtection="1">
      <alignment horizontal="center" vertical="center"/>
      <protection locked="0"/>
    </xf>
    <xf numFmtId="0" fontId="6" fillId="13" borderId="74" xfId="10" applyFont="1" applyFill="1" applyBorder="1" applyAlignment="1" applyProtection="1">
      <alignment horizontal="center" vertical="center"/>
      <protection locked="0"/>
    </xf>
    <xf numFmtId="0" fontId="6" fillId="13" borderId="193" xfId="10" applyFont="1" applyFill="1" applyBorder="1" applyAlignment="1" applyProtection="1">
      <alignment horizontal="center" vertical="center"/>
      <protection locked="0"/>
    </xf>
    <xf numFmtId="0" fontId="6" fillId="0" borderId="74" xfId="10" applyFont="1" applyBorder="1" applyAlignment="1">
      <alignment horizontal="left" vertical="center"/>
    </xf>
    <xf numFmtId="0" fontId="6" fillId="15" borderId="74" xfId="10" applyFont="1" applyFill="1" applyBorder="1" applyAlignment="1">
      <alignment horizontal="center" vertical="center"/>
    </xf>
    <xf numFmtId="0" fontId="6" fillId="0" borderId="79" xfId="10" applyFont="1" applyBorder="1" applyAlignment="1">
      <alignment horizontal="left" vertical="center"/>
    </xf>
    <xf numFmtId="176" fontId="6" fillId="0" borderId="74" xfId="10" applyNumberFormat="1" applyFont="1" applyBorder="1" applyAlignment="1">
      <alignment horizontal="center" vertical="center"/>
    </xf>
    <xf numFmtId="176" fontId="6" fillId="0" borderId="45" xfId="10" applyNumberFormat="1"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73" xfId="0" applyFont="1" applyBorder="1" applyAlignment="1">
      <alignment horizontal="center" vertical="center"/>
    </xf>
    <xf numFmtId="0" fontId="7" fillId="0" borderId="16" xfId="10" applyFont="1" applyBorder="1" applyAlignment="1">
      <alignment horizontal="center" vertical="center"/>
    </xf>
    <xf numFmtId="0" fontId="7" fillId="0" borderId="14" xfId="10" applyFont="1" applyBorder="1" applyAlignment="1">
      <alignment horizontal="center" vertical="center"/>
    </xf>
    <xf numFmtId="0" fontId="6" fillId="0" borderId="12" xfId="10" applyFont="1" applyBorder="1" applyAlignment="1">
      <alignment horizontal="center" vertical="center" wrapText="1"/>
    </xf>
    <xf numFmtId="176" fontId="6" fillId="0" borderId="13" xfId="10" applyNumberFormat="1" applyFont="1" applyBorder="1" applyAlignment="1">
      <alignment horizontal="right" vertical="center"/>
    </xf>
    <xf numFmtId="0" fontId="9" fillId="0" borderId="13" xfId="10" applyFont="1" applyBorder="1" applyAlignment="1">
      <alignment horizontal="distributed" vertical="center" shrinkToFit="1"/>
    </xf>
    <xf numFmtId="0" fontId="6" fillId="0" borderId="12" xfId="10" applyFont="1" applyBorder="1" applyAlignment="1">
      <alignment horizontal="center" vertical="center"/>
    </xf>
    <xf numFmtId="0" fontId="6" fillId="0" borderId="15" xfId="10" applyFont="1" applyBorder="1" applyAlignment="1">
      <alignment horizontal="center" vertical="center"/>
    </xf>
    <xf numFmtId="176" fontId="6" fillId="13" borderId="3" xfId="10" applyNumberFormat="1" applyFont="1" applyFill="1" applyBorder="1" applyAlignment="1" applyProtection="1">
      <alignment horizontal="right" vertical="center"/>
      <protection locked="0"/>
    </xf>
    <xf numFmtId="176" fontId="6" fillId="13" borderId="13" xfId="10" applyNumberFormat="1" applyFont="1" applyFill="1" applyBorder="1" applyAlignment="1" applyProtection="1">
      <alignment horizontal="right" vertical="center"/>
      <protection locked="0"/>
    </xf>
    <xf numFmtId="176" fontId="6" fillId="0" borderId="39" xfId="10" applyNumberFormat="1" applyFont="1" applyBorder="1" applyAlignment="1">
      <alignment horizontal="center" vertical="center" shrinkToFit="1"/>
    </xf>
    <xf numFmtId="176" fontId="6" fillId="0" borderId="37" xfId="10" applyNumberFormat="1" applyFont="1" applyBorder="1" applyAlignment="1">
      <alignment horizontal="center" vertical="center" shrinkToFit="1"/>
    </xf>
    <xf numFmtId="0" fontId="9" fillId="0" borderId="3" xfId="10" applyFont="1" applyBorder="1" applyAlignment="1">
      <alignment horizontal="distributed" vertical="center"/>
    </xf>
    <xf numFmtId="0" fontId="6" fillId="0" borderId="39" xfId="10" applyFont="1" applyBorder="1" applyAlignment="1">
      <alignment horizontal="distributed" vertical="center"/>
    </xf>
    <xf numFmtId="0" fontId="6" fillId="0" borderId="7" xfId="10" applyFont="1" applyBorder="1" applyAlignment="1">
      <alignment horizontal="distributed" vertical="center" shrinkToFit="1"/>
    </xf>
    <xf numFmtId="180" fontId="9" fillId="0" borderId="7" xfId="10" applyNumberFormat="1" applyFont="1" applyBorder="1" applyAlignment="1">
      <alignment horizontal="distributed" vertical="center"/>
    </xf>
    <xf numFmtId="176" fontId="6" fillId="0" borderId="7" xfId="10" applyNumberFormat="1" applyFont="1" applyBorder="1" applyAlignment="1">
      <alignment horizontal="right" vertical="center"/>
    </xf>
    <xf numFmtId="176" fontId="6" fillId="0" borderId="74" xfId="10" applyNumberFormat="1" applyFont="1" applyBorder="1" applyAlignment="1">
      <alignment horizontal="right" vertical="center"/>
    </xf>
    <xf numFmtId="0" fontId="7" fillId="0" borderId="47" xfId="10" applyFont="1" applyBorder="1" applyAlignment="1">
      <alignment horizontal="center" vertical="center"/>
    </xf>
    <xf numFmtId="0" fontId="7" fillId="0" borderId="74" xfId="10" applyFont="1" applyBorder="1" applyAlignment="1">
      <alignment horizontal="center" vertical="center"/>
    </xf>
    <xf numFmtId="0" fontId="7" fillId="0" borderId="79" xfId="10" applyFont="1" applyBorder="1" applyAlignment="1">
      <alignment horizontal="center" vertical="center"/>
    </xf>
    <xf numFmtId="0" fontId="7" fillId="0" borderId="38" xfId="10" applyFont="1" applyBorder="1" applyAlignment="1">
      <alignment horizontal="center" vertical="center"/>
    </xf>
    <xf numFmtId="0" fontId="7" fillId="0" borderId="39" xfId="10" applyFont="1" applyBorder="1" applyAlignment="1">
      <alignment horizontal="center" vertical="center"/>
    </xf>
    <xf numFmtId="0" fontId="7" fillId="0" borderId="72" xfId="10" applyFont="1" applyBorder="1" applyAlignment="1">
      <alignment horizontal="center" vertical="center"/>
    </xf>
    <xf numFmtId="0" fontId="9" fillId="0" borderId="39" xfId="10" applyFont="1" applyBorder="1" applyAlignment="1">
      <alignment horizontal="distributed" vertical="center" wrapText="1" shrinkToFit="1"/>
    </xf>
    <xf numFmtId="176" fontId="6" fillId="0" borderId="39" xfId="10" applyNumberFormat="1" applyFont="1" applyBorder="1" applyAlignment="1">
      <alignment horizontal="right" vertical="center" shrinkToFit="1"/>
    </xf>
    <xf numFmtId="176" fontId="6" fillId="0" borderId="2" xfId="10" applyNumberFormat="1" applyFont="1" applyBorder="1" applyAlignment="1">
      <alignment horizontal="center" vertical="center"/>
    </xf>
    <xf numFmtId="0" fontId="6" fillId="0" borderId="3" xfId="10" applyFont="1" applyBorder="1" applyAlignment="1">
      <alignment horizontal="center" vertical="center"/>
    </xf>
    <xf numFmtId="0" fontId="6" fillId="0" borderId="13" xfId="10" applyFont="1" applyBorder="1" applyAlignment="1">
      <alignment horizontal="center" vertical="center"/>
    </xf>
    <xf numFmtId="0" fontId="6" fillId="0" borderId="73" xfId="10" applyFont="1" applyBorder="1" applyAlignment="1">
      <alignment horizontal="center" vertical="center"/>
    </xf>
    <xf numFmtId="0" fontId="6" fillId="0" borderId="3" xfId="10" applyFont="1" applyBorder="1" applyAlignment="1">
      <alignment horizontal="distributed" vertical="center" wrapText="1"/>
    </xf>
    <xf numFmtId="0" fontId="20" fillId="13" borderId="15" xfId="0" applyFont="1" applyFill="1" applyBorder="1" applyAlignment="1" applyProtection="1">
      <alignment horizontal="center" vertical="center" shrinkToFit="1"/>
      <protection locked="0"/>
    </xf>
    <xf numFmtId="0" fontId="20" fillId="13" borderId="13" xfId="0" applyFont="1" applyFill="1" applyBorder="1" applyAlignment="1" applyProtection="1">
      <alignment horizontal="center" vertical="center" shrinkToFit="1"/>
      <protection locked="0"/>
    </xf>
    <xf numFmtId="0" fontId="20" fillId="13" borderId="16" xfId="0" applyFont="1" applyFill="1" applyBorder="1" applyAlignment="1" applyProtection="1">
      <alignment horizontal="center" vertical="center" shrinkToFit="1"/>
      <protection locked="0"/>
    </xf>
    <xf numFmtId="0" fontId="6" fillId="13" borderId="47" xfId="10" applyFont="1" applyFill="1" applyBorder="1" applyAlignment="1" applyProtection="1">
      <alignment horizontal="left" vertical="center"/>
      <protection locked="0"/>
    </xf>
    <xf numFmtId="0" fontId="6" fillId="13" borderId="74" xfId="10" applyFont="1" applyFill="1" applyBorder="1" applyAlignment="1" applyProtection="1">
      <alignment horizontal="left" vertical="center"/>
      <protection locked="0"/>
    </xf>
    <xf numFmtId="0" fontId="6" fillId="13" borderId="79" xfId="10" applyFont="1" applyFill="1" applyBorder="1" applyAlignment="1" applyProtection="1">
      <alignment horizontal="left" vertical="center"/>
      <protection locked="0"/>
    </xf>
    <xf numFmtId="0" fontId="6" fillId="13" borderId="15" xfId="10" applyFont="1" applyFill="1" applyBorder="1" applyAlignment="1" applyProtection="1">
      <alignment horizontal="center" vertical="center"/>
      <protection locked="0"/>
    </xf>
    <xf numFmtId="0" fontId="6" fillId="13" borderId="13" xfId="10" applyFont="1" applyFill="1" applyBorder="1" applyAlignment="1" applyProtection="1">
      <alignment horizontal="center" vertical="center"/>
      <protection locked="0"/>
    </xf>
    <xf numFmtId="0" fontId="6" fillId="13" borderId="16" xfId="10" applyFont="1" applyFill="1" applyBorder="1" applyAlignment="1" applyProtection="1">
      <alignment horizontal="center" vertical="center"/>
      <protection locked="0"/>
    </xf>
    <xf numFmtId="0" fontId="8" fillId="0" borderId="0" xfId="10" applyFont="1" applyAlignment="1">
      <alignment horizontal="center" vertical="center"/>
    </xf>
    <xf numFmtId="0" fontId="6" fillId="13" borderId="48" xfId="10" applyFont="1" applyFill="1" applyBorder="1" applyAlignment="1" applyProtection="1">
      <alignment horizontal="left" vertical="center" wrapText="1"/>
      <protection locked="0"/>
    </xf>
    <xf numFmtId="0" fontId="6" fillId="13" borderId="75" xfId="10" applyFont="1" applyFill="1" applyBorder="1" applyAlignment="1" applyProtection="1">
      <alignment horizontal="left" vertical="center" wrapText="1"/>
      <protection locked="0"/>
    </xf>
    <xf numFmtId="0" fontId="6" fillId="13" borderId="76" xfId="10" applyFont="1" applyFill="1" applyBorder="1" applyAlignment="1" applyProtection="1">
      <alignment horizontal="left" vertical="center" wrapText="1"/>
      <protection locked="0"/>
    </xf>
    <xf numFmtId="0" fontId="6" fillId="0" borderId="48" xfId="10" applyFont="1" applyBorder="1" applyAlignment="1">
      <alignment horizontal="center" vertical="center"/>
    </xf>
    <xf numFmtId="0" fontId="6" fillId="0" borderId="75" xfId="10" applyFont="1" applyBorder="1" applyAlignment="1">
      <alignment horizontal="center" vertical="center"/>
    </xf>
    <xf numFmtId="0" fontId="6" fillId="0" borderId="76" xfId="10" applyFont="1" applyBorder="1" applyAlignment="1">
      <alignment horizontal="center" vertical="center"/>
    </xf>
    <xf numFmtId="0" fontId="6" fillId="0" borderId="74" xfId="10" applyFont="1" applyBorder="1" applyAlignment="1">
      <alignment horizontal="distributed" vertical="center" wrapText="1"/>
    </xf>
    <xf numFmtId="0" fontId="84" fillId="0" borderId="74" xfId="0" applyFont="1" applyBorder="1">
      <alignment vertical="center"/>
    </xf>
    <xf numFmtId="0" fontId="6" fillId="0" borderId="77" xfId="10" applyFont="1" applyBorder="1" applyAlignment="1">
      <alignment horizontal="left" vertical="center"/>
    </xf>
    <xf numFmtId="0" fontId="6" fillId="0" borderId="78" xfId="10" applyFont="1" applyBorder="1" applyAlignment="1">
      <alignment horizontal="left" vertical="center"/>
    </xf>
    <xf numFmtId="0" fontId="6" fillId="0" borderId="16" xfId="0" applyFont="1" applyBorder="1" applyAlignment="1">
      <alignment horizontal="center" vertical="center"/>
    </xf>
    <xf numFmtId="0" fontId="9" fillId="0" borderId="13" xfId="10" applyFont="1" applyBorder="1" applyAlignment="1">
      <alignment horizontal="distributed" vertical="center"/>
    </xf>
    <xf numFmtId="0" fontId="6" fillId="0" borderId="54" xfId="10" applyFont="1" applyBorder="1" applyAlignment="1">
      <alignment horizontal="center" vertical="center" textRotation="255"/>
    </xf>
    <xf numFmtId="0" fontId="6" fillId="0" borderId="3" xfId="10" applyFont="1" applyBorder="1" applyAlignment="1">
      <alignment horizontal="center" vertical="center" textRotation="255"/>
    </xf>
    <xf numFmtId="0" fontId="6" fillId="0" borderId="4" xfId="10" applyFont="1" applyBorder="1" applyAlignment="1">
      <alignment horizontal="center" vertical="center" textRotation="255"/>
    </xf>
    <xf numFmtId="0" fontId="6" fillId="0" borderId="55" xfId="10" applyFont="1" applyBorder="1" applyAlignment="1">
      <alignment horizontal="center" vertical="center" textRotation="255"/>
    </xf>
    <xf numFmtId="0" fontId="6" fillId="0" borderId="0" xfId="10" applyFont="1" applyAlignment="1">
      <alignment horizontal="center" vertical="center" textRotation="255"/>
    </xf>
    <xf numFmtId="0" fontId="6" fillId="0" borderId="1" xfId="10" applyFont="1" applyBorder="1" applyAlignment="1">
      <alignment horizontal="center" vertical="center" textRotation="255"/>
    </xf>
    <xf numFmtId="0" fontId="6" fillId="0" borderId="11" xfId="10" applyFont="1" applyBorder="1" applyAlignment="1">
      <alignment horizontal="center" vertical="center" textRotation="255"/>
    </xf>
    <xf numFmtId="0" fontId="6" fillId="0" borderId="7" xfId="10" applyFont="1" applyBorder="1" applyAlignment="1">
      <alignment horizontal="center" vertical="center" textRotation="255"/>
    </xf>
    <xf numFmtId="0" fontId="6" fillId="0" borderId="8" xfId="10" applyFont="1" applyBorder="1" applyAlignment="1">
      <alignment horizontal="center" vertical="center" textRotation="255"/>
    </xf>
    <xf numFmtId="0" fontId="6" fillId="0" borderId="13" xfId="10" applyFont="1" applyBorder="1" applyAlignment="1">
      <alignment horizontal="distributed" vertical="center"/>
    </xf>
    <xf numFmtId="0" fontId="6" fillId="0" borderId="39" xfId="10" applyFont="1" applyBorder="1" applyAlignment="1">
      <alignment horizontal="distributed" vertical="center" wrapText="1"/>
    </xf>
    <xf numFmtId="0" fontId="6" fillId="0" borderId="38" xfId="10" applyFont="1" applyBorder="1" applyAlignment="1">
      <alignment horizontal="left" vertical="center"/>
    </xf>
    <xf numFmtId="0" fontId="6" fillId="0" borderId="39" xfId="10" applyFont="1" applyBorder="1" applyAlignment="1">
      <alignment horizontal="left" vertical="center"/>
    </xf>
    <xf numFmtId="0" fontId="6" fillId="0" borderId="72" xfId="10" applyFont="1" applyBorder="1" applyAlignment="1">
      <alignment horizontal="left" vertical="center"/>
    </xf>
    <xf numFmtId="0" fontId="20" fillId="13" borderId="73" xfId="0" applyFont="1" applyFill="1" applyBorder="1" applyAlignment="1" applyProtection="1">
      <alignment horizontal="center" vertical="center" shrinkToFit="1"/>
      <protection locked="0"/>
    </xf>
    <xf numFmtId="187" fontId="6" fillId="0" borderId="43" xfId="10" applyNumberFormat="1" applyFont="1" applyBorder="1" applyAlignment="1">
      <alignment horizontal="left" vertical="center"/>
    </xf>
    <xf numFmtId="0" fontId="9" fillId="0" borderId="74" xfId="10" applyFont="1" applyBorder="1" applyAlignment="1">
      <alignment horizontal="distributed" vertical="center"/>
    </xf>
    <xf numFmtId="0" fontId="6" fillId="0" borderId="43" xfId="10" applyFont="1" applyBorder="1" applyAlignment="1">
      <alignment horizontal="center" vertical="center"/>
    </xf>
    <xf numFmtId="0" fontId="6" fillId="0" borderId="12" xfId="10" applyFont="1" applyBorder="1" applyAlignment="1">
      <alignment horizontal="center" vertical="center" textRotation="255"/>
    </xf>
    <xf numFmtId="0" fontId="6" fillId="0" borderId="39" xfId="10" applyFont="1" applyBorder="1" applyAlignment="1">
      <alignment horizontal="distributed" vertical="center" shrinkToFit="1"/>
    </xf>
    <xf numFmtId="0" fontId="9" fillId="13" borderId="38" xfId="10" applyFont="1" applyFill="1" applyBorder="1" applyAlignment="1" applyProtection="1">
      <alignment horizontal="left" vertical="center" wrapText="1"/>
      <protection locked="0"/>
    </xf>
    <xf numFmtId="0" fontId="9" fillId="13" borderId="39" xfId="10" applyFont="1" applyFill="1" applyBorder="1" applyAlignment="1" applyProtection="1">
      <alignment horizontal="left" vertical="center" wrapText="1"/>
      <protection locked="0"/>
    </xf>
    <xf numFmtId="0" fontId="9" fillId="13" borderId="72" xfId="10" applyFont="1" applyFill="1" applyBorder="1" applyAlignment="1" applyProtection="1">
      <alignment horizontal="left" vertical="center" wrapText="1"/>
      <protection locked="0"/>
    </xf>
    <xf numFmtId="0" fontId="6" fillId="0" borderId="0" xfId="10" applyFont="1" applyAlignment="1">
      <alignment horizontal="left" vertical="center"/>
    </xf>
    <xf numFmtId="0" fontId="6" fillId="0" borderId="75" xfId="10" applyFont="1" applyBorder="1" applyAlignment="1">
      <alignment horizontal="distributed" vertical="center" wrapText="1"/>
    </xf>
    <xf numFmtId="0" fontId="6" fillId="13" borderId="84" xfId="10" applyFont="1" applyFill="1" applyBorder="1" applyAlignment="1" applyProtection="1">
      <alignment horizontal="center" vertical="center"/>
      <protection locked="0"/>
    </xf>
    <xf numFmtId="0" fontId="6" fillId="13" borderId="75" xfId="10" applyFont="1" applyFill="1" applyBorder="1" applyAlignment="1" applyProtection="1">
      <alignment horizontal="center" vertical="center"/>
      <protection locked="0"/>
    </xf>
    <xf numFmtId="0" fontId="6" fillId="0" borderId="75" xfId="10" applyFont="1" applyBorder="1" applyAlignment="1">
      <alignment horizontal="left" vertical="center"/>
    </xf>
    <xf numFmtId="0" fontId="6" fillId="0" borderId="76" xfId="10" applyFont="1" applyBorder="1" applyAlignment="1">
      <alignment horizontal="left" vertical="center"/>
    </xf>
    <xf numFmtId="0" fontId="6" fillId="0" borderId="0" xfId="10" applyFont="1" applyAlignment="1">
      <alignment horizontal="center" vertical="center"/>
    </xf>
    <xf numFmtId="0" fontId="9" fillId="0" borderId="75" xfId="10" applyFont="1" applyBorder="1" applyAlignment="1">
      <alignment horizontal="distributed" vertical="center" wrapText="1"/>
    </xf>
    <xf numFmtId="0" fontId="6" fillId="13" borderId="84" xfId="10" applyFont="1" applyFill="1" applyBorder="1" applyAlignment="1" applyProtection="1">
      <alignment horizontal="left" vertical="center"/>
      <protection locked="0"/>
    </xf>
    <xf numFmtId="0" fontId="6" fillId="13" borderId="75" xfId="10" applyFont="1" applyFill="1" applyBorder="1" applyAlignment="1" applyProtection="1">
      <alignment horizontal="left" vertical="center"/>
      <protection locked="0"/>
    </xf>
    <xf numFmtId="0" fontId="6" fillId="13" borderId="76" xfId="10" applyFont="1" applyFill="1" applyBorder="1" applyAlignment="1" applyProtection="1">
      <alignment horizontal="left" vertical="center"/>
      <protection locked="0"/>
    </xf>
    <xf numFmtId="0" fontId="6" fillId="13" borderId="95" xfId="10" applyFont="1" applyFill="1" applyBorder="1" applyAlignment="1">
      <alignment horizontal="left" vertical="center"/>
    </xf>
    <xf numFmtId="0" fontId="6" fillId="13" borderId="43" xfId="10" applyFont="1" applyFill="1" applyBorder="1" applyAlignment="1">
      <alignment horizontal="left" vertical="center"/>
    </xf>
    <xf numFmtId="0" fontId="6" fillId="13" borderId="83" xfId="10" applyFont="1" applyFill="1" applyBorder="1" applyAlignment="1">
      <alignment horizontal="left" vertical="center"/>
    </xf>
    <xf numFmtId="0" fontId="9" fillId="0" borderId="13" xfId="10" applyFont="1" applyBorder="1" applyAlignment="1">
      <alignment horizontal="distributed" vertical="center" wrapText="1"/>
    </xf>
    <xf numFmtId="0" fontId="6" fillId="2" borderId="15" xfId="10" applyFont="1" applyFill="1" applyBorder="1" applyAlignment="1">
      <alignment horizontal="left" vertical="center"/>
    </xf>
    <xf numFmtId="0" fontId="6" fillId="2" borderId="13" xfId="10" applyFont="1" applyFill="1" applyBorder="1" applyAlignment="1">
      <alignment horizontal="left" vertical="center"/>
    </xf>
    <xf numFmtId="0" fontId="6" fillId="2" borderId="73" xfId="10" applyFont="1" applyFill="1" applyBorder="1" applyAlignment="1">
      <alignment horizontal="left" vertical="center"/>
    </xf>
    <xf numFmtId="0" fontId="9" fillId="0" borderId="39" xfId="10" applyFont="1" applyBorder="1" applyAlignment="1">
      <alignment horizontal="distributed" vertical="center" wrapText="1"/>
    </xf>
    <xf numFmtId="0" fontId="19" fillId="13" borderId="48" xfId="0" applyFont="1" applyFill="1" applyBorder="1" applyAlignment="1" applyProtection="1">
      <alignment horizontal="left" vertical="center" wrapText="1"/>
      <protection locked="0"/>
    </xf>
    <xf numFmtId="0" fontId="19" fillId="13" borderId="75" xfId="0" applyFont="1" applyFill="1" applyBorder="1" applyAlignment="1" applyProtection="1">
      <alignment horizontal="left" vertical="center"/>
      <protection locked="0"/>
    </xf>
    <xf numFmtId="0" fontId="19" fillId="13" borderId="76" xfId="0" applyFont="1" applyFill="1" applyBorder="1" applyAlignment="1" applyProtection="1">
      <alignment horizontal="left" vertical="center"/>
      <protection locked="0"/>
    </xf>
    <xf numFmtId="0" fontId="6" fillId="13" borderId="9" xfId="10" applyFont="1" applyFill="1" applyBorder="1" applyAlignment="1" applyProtection="1">
      <alignment horizontal="left" vertical="top" wrapText="1"/>
      <protection locked="0"/>
    </xf>
    <xf numFmtId="0" fontId="6" fillId="13" borderId="10" xfId="10" applyFont="1" applyFill="1" applyBorder="1" applyAlignment="1" applyProtection="1">
      <alignment horizontal="left" vertical="top" wrapText="1"/>
      <protection locked="0"/>
    </xf>
    <xf numFmtId="0" fontId="6" fillId="13" borderId="81" xfId="10" applyFont="1" applyFill="1" applyBorder="1" applyAlignment="1" applyProtection="1">
      <alignment horizontal="left" vertical="top" wrapText="1"/>
      <protection locked="0"/>
    </xf>
    <xf numFmtId="0" fontId="6" fillId="13" borderId="55" xfId="10" applyFont="1" applyFill="1" applyBorder="1" applyAlignment="1" applyProtection="1">
      <alignment horizontal="left" vertical="top" wrapText="1"/>
      <protection locked="0"/>
    </xf>
    <xf numFmtId="0" fontId="6" fillId="13" borderId="0" xfId="10" applyFont="1" applyFill="1" applyAlignment="1" applyProtection="1">
      <alignment horizontal="left" vertical="top" wrapText="1"/>
      <protection locked="0"/>
    </xf>
    <xf numFmtId="0" fontId="6" fillId="13" borderId="82" xfId="10" applyFont="1" applyFill="1" applyBorder="1" applyAlignment="1" applyProtection="1">
      <alignment horizontal="left" vertical="top" wrapText="1"/>
      <protection locked="0"/>
    </xf>
    <xf numFmtId="0" fontId="6" fillId="13" borderId="50" xfId="10" applyFont="1" applyFill="1" applyBorder="1" applyAlignment="1" applyProtection="1">
      <alignment horizontal="left" vertical="top" wrapText="1"/>
      <protection locked="0"/>
    </xf>
    <xf numFmtId="0" fontId="6" fillId="13" borderId="43" xfId="10" applyFont="1" applyFill="1" applyBorder="1" applyAlignment="1" applyProtection="1">
      <alignment horizontal="left" vertical="top" wrapText="1"/>
      <protection locked="0"/>
    </xf>
    <xf numFmtId="0" fontId="6" fillId="13" borderId="83" xfId="10" applyFont="1" applyFill="1" applyBorder="1" applyAlignment="1" applyProtection="1">
      <alignment horizontal="left" vertical="top" wrapText="1"/>
      <protection locked="0"/>
    </xf>
    <xf numFmtId="0" fontId="17" fillId="2" borderId="38" xfId="3" applyFill="1" applyBorder="1" applyAlignment="1" applyProtection="1">
      <alignment horizontal="left" vertical="center"/>
    </xf>
    <xf numFmtId="0" fontId="6" fillId="2" borderId="39" xfId="10" applyFont="1" applyFill="1" applyBorder="1" applyAlignment="1">
      <alignment horizontal="left" vertical="center"/>
    </xf>
    <xf numFmtId="0" fontId="6" fillId="2" borderId="72" xfId="10" applyFont="1" applyFill="1" applyBorder="1" applyAlignment="1">
      <alignment horizontal="left" vertical="center"/>
    </xf>
    <xf numFmtId="0" fontId="9" fillId="0" borderId="43" xfId="10" applyFont="1" applyBorder="1" applyAlignment="1">
      <alignment horizontal="distributed" vertical="center" wrapText="1"/>
    </xf>
    <xf numFmtId="0" fontId="10" fillId="0" borderId="0" xfId="10" applyFont="1" applyAlignment="1">
      <alignment horizontal="center" vertical="center"/>
    </xf>
    <xf numFmtId="0" fontId="84" fillId="0" borderId="0" xfId="0" applyFont="1">
      <alignment vertical="center"/>
    </xf>
    <xf numFmtId="9" fontId="10" fillId="0" borderId="0" xfId="10" applyNumberFormat="1" applyFont="1" applyAlignment="1">
      <alignment horizontal="center" vertical="center"/>
    </xf>
    <xf numFmtId="0" fontId="6" fillId="0" borderId="91" xfId="10" applyFont="1" applyBorder="1" applyAlignment="1">
      <alignment horizontal="center" vertical="center" wrapText="1"/>
    </xf>
    <xf numFmtId="0" fontId="4" fillId="0" borderId="91" xfId="10" applyBorder="1" applyAlignment="1">
      <alignment horizontal="center" vertical="center"/>
    </xf>
    <xf numFmtId="0" fontId="6" fillId="0" borderId="92" xfId="10" applyFont="1" applyBorder="1" applyAlignment="1">
      <alignment horizontal="center" vertical="center" wrapText="1"/>
    </xf>
    <xf numFmtId="0" fontId="6" fillId="0" borderId="93" xfId="10" applyFont="1" applyBorder="1" applyAlignment="1">
      <alignment horizontal="center" vertical="center" wrapText="1"/>
    </xf>
    <xf numFmtId="0" fontId="6" fillId="0" borderId="96" xfId="10" applyFont="1" applyBorder="1" applyAlignment="1">
      <alignment horizontal="center" vertical="center" wrapText="1"/>
    </xf>
    <xf numFmtId="0" fontId="6" fillId="0" borderId="97" xfId="1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1" xfId="10" applyFont="1" applyBorder="1" applyAlignment="1">
      <alignment horizontal="center" vertical="center"/>
    </xf>
    <xf numFmtId="0" fontId="4" fillId="0" borderId="40" xfId="10" applyBorder="1" applyAlignment="1">
      <alignment horizontal="center" vertical="center"/>
    </xf>
    <xf numFmtId="0" fontId="4" fillId="0" borderId="13" xfId="10" applyBorder="1" applyAlignment="1">
      <alignment horizontal="center" vertical="center"/>
    </xf>
    <xf numFmtId="0" fontId="4" fillId="0" borderId="73" xfId="10" applyBorder="1" applyAlignment="1">
      <alignment horizontal="center" vertical="center"/>
    </xf>
    <xf numFmtId="0" fontId="4" fillId="0" borderId="87" xfId="10" applyBorder="1" applyAlignment="1">
      <alignment horizontal="center" vertical="center" wrapText="1"/>
    </xf>
    <xf numFmtId="0" fontId="4" fillId="0" borderId="99" xfId="10" applyBorder="1" applyAlignment="1">
      <alignment horizontal="center" vertical="center" wrapText="1"/>
    </xf>
    <xf numFmtId="0" fontId="4" fillId="0" borderId="85" xfId="10" applyBorder="1" applyAlignment="1">
      <alignment horizontal="center" vertical="center" wrapText="1"/>
    </xf>
    <xf numFmtId="0" fontId="4" fillId="0" borderId="36" xfId="10" applyBorder="1" applyAlignment="1">
      <alignment horizontal="center" vertical="center"/>
    </xf>
    <xf numFmtId="0" fontId="4" fillId="0" borderId="39" xfId="10" applyBorder="1" applyAlignment="1">
      <alignment horizontal="center" vertical="center"/>
    </xf>
    <xf numFmtId="0" fontId="4" fillId="0" borderId="72" xfId="10" applyBorder="1" applyAlignment="1">
      <alignment horizontal="center" vertical="center"/>
    </xf>
    <xf numFmtId="0" fontId="4" fillId="0" borderId="12" xfId="10" applyBorder="1" applyAlignment="1">
      <alignment horizontal="center" vertical="center" wrapText="1"/>
    </xf>
    <xf numFmtId="0" fontId="6" fillId="0" borderId="9" xfId="10" applyFont="1" applyBorder="1" applyAlignment="1">
      <alignment horizontal="center" vertical="center" wrapText="1"/>
    </xf>
    <xf numFmtId="0" fontId="6" fillId="0" borderId="10" xfId="10" applyFont="1" applyBorder="1" applyAlignment="1">
      <alignment horizontal="center" vertical="center" wrapText="1"/>
    </xf>
    <xf numFmtId="0" fontId="6" fillId="0" borderId="81" xfId="10" applyFont="1" applyBorder="1" applyAlignment="1">
      <alignment horizontal="center" vertical="center" wrapText="1"/>
    </xf>
    <xf numFmtId="0" fontId="6" fillId="0" borderId="50" xfId="10" applyFont="1" applyBorder="1" applyAlignment="1">
      <alignment horizontal="center" vertical="center" wrapText="1"/>
    </xf>
    <xf numFmtId="0" fontId="6" fillId="0" borderId="43" xfId="10" applyFont="1" applyBorder="1" applyAlignment="1">
      <alignment horizontal="center" vertical="center" wrapText="1"/>
    </xf>
    <xf numFmtId="0" fontId="6" fillId="0" borderId="83" xfId="10" applyFont="1" applyBorder="1" applyAlignment="1">
      <alignment horizontal="center" vertical="center" wrapText="1"/>
    </xf>
    <xf numFmtId="0" fontId="9" fillId="0" borderId="74" xfId="10" applyFont="1" applyBorder="1" applyAlignment="1">
      <alignment horizontal="distributed" vertical="center" wrapText="1"/>
    </xf>
    <xf numFmtId="0" fontId="6" fillId="0" borderId="43" xfId="10" applyFont="1" applyBorder="1" applyAlignment="1">
      <alignment horizontal="distributed" vertical="center" wrapText="1"/>
    </xf>
    <xf numFmtId="0" fontId="6" fillId="13" borderId="95" xfId="10" applyFont="1" applyFill="1" applyBorder="1" applyAlignment="1" applyProtection="1">
      <alignment horizontal="left" vertical="center" wrapText="1"/>
      <protection locked="0"/>
    </xf>
    <xf numFmtId="0" fontId="6" fillId="13" borderId="43" xfId="10" applyFont="1" applyFill="1" applyBorder="1" applyAlignment="1" applyProtection="1">
      <alignment horizontal="left" vertical="center" wrapText="1"/>
      <protection locked="0"/>
    </xf>
    <xf numFmtId="0" fontId="6" fillId="13" borderId="83" xfId="10" applyFont="1" applyFill="1" applyBorder="1" applyAlignment="1" applyProtection="1">
      <alignment horizontal="left" vertical="center" wrapText="1"/>
      <protection locked="0"/>
    </xf>
    <xf numFmtId="0" fontId="6" fillId="0" borderId="50" xfId="10" applyFont="1" applyBorder="1" applyAlignment="1">
      <alignment vertical="center"/>
    </xf>
    <xf numFmtId="0" fontId="6" fillId="0" borderId="43" xfId="10" applyFont="1" applyBorder="1" applyAlignment="1">
      <alignment vertical="center"/>
    </xf>
    <xf numFmtId="0" fontId="6" fillId="0" borderId="47" xfId="10" applyFont="1" applyBorder="1" applyAlignment="1">
      <alignment horizontal="center" vertical="center"/>
    </xf>
    <xf numFmtId="0" fontId="6" fillId="0" borderId="74" xfId="10" applyFont="1" applyBorder="1" applyAlignment="1">
      <alignment horizontal="center" vertical="center"/>
    </xf>
    <xf numFmtId="0" fontId="6" fillId="0" borderId="45" xfId="10" applyFont="1" applyBorder="1" applyAlignment="1">
      <alignment vertical="center"/>
    </xf>
    <xf numFmtId="0" fontId="6" fillId="0" borderId="77" xfId="10" applyFont="1" applyBorder="1" applyAlignment="1">
      <alignment vertical="center"/>
    </xf>
    <xf numFmtId="0" fontId="6" fillId="0" borderId="78" xfId="10" applyFont="1" applyBorder="1" applyAlignment="1">
      <alignment vertical="center"/>
    </xf>
    <xf numFmtId="0" fontId="6" fillId="0" borderId="74" xfId="10" applyFont="1" applyBorder="1" applyAlignment="1">
      <alignment vertical="center"/>
    </xf>
    <xf numFmtId="0" fontId="4" fillId="0" borderId="94" xfId="10" applyBorder="1" applyAlignment="1">
      <alignment horizontal="center" vertical="center" wrapText="1"/>
    </xf>
    <xf numFmtId="0" fontId="4" fillId="0" borderId="77" xfId="10" applyBorder="1" applyAlignment="1">
      <alignment horizontal="center" vertical="center" wrapText="1"/>
    </xf>
    <xf numFmtId="0" fontId="9" fillId="0" borderId="88" xfId="10" applyFont="1" applyBorder="1" applyAlignment="1">
      <alignment horizontal="center" vertical="center" shrinkToFit="1"/>
    </xf>
    <xf numFmtId="0" fontId="4" fillId="0" borderId="88" xfId="0" applyFont="1" applyBorder="1" applyAlignment="1">
      <alignment horizontal="center" vertical="center"/>
    </xf>
    <xf numFmtId="0" fontId="13" fillId="0" borderId="40" xfId="10" applyFont="1" applyBorder="1" applyAlignment="1">
      <alignment horizontal="center" vertical="center" wrapText="1" shrinkToFit="1"/>
    </xf>
    <xf numFmtId="0" fontId="13" fillId="0" borderId="13" xfId="10" applyFont="1" applyBorder="1" applyAlignment="1">
      <alignment horizontal="center" vertical="center" wrapText="1" shrinkToFit="1"/>
    </xf>
    <xf numFmtId="0" fontId="13" fillId="0" borderId="73" xfId="10" applyFont="1" applyBorder="1" applyAlignment="1">
      <alignment horizontal="center" vertical="center" wrapText="1" shrinkToFit="1"/>
    </xf>
    <xf numFmtId="0" fontId="4" fillId="0" borderId="77" xfId="10" applyBorder="1" applyAlignment="1">
      <alignment horizontal="center" vertical="center"/>
    </xf>
    <xf numFmtId="0" fontId="4" fillId="0" borderId="94" xfId="10" applyBorder="1" applyAlignment="1">
      <alignment horizontal="center" vertical="center"/>
    </xf>
    <xf numFmtId="0" fontId="4" fillId="0" borderId="88" xfId="10" applyBorder="1" applyAlignment="1">
      <alignment horizontal="center" vertical="center"/>
    </xf>
    <xf numFmtId="0" fontId="4" fillId="0" borderId="16" xfId="10" applyBorder="1" applyAlignment="1">
      <alignment horizontal="center" vertical="center"/>
    </xf>
    <xf numFmtId="0" fontId="4" fillId="0" borderId="15" xfId="10" applyBorder="1" applyAlignment="1">
      <alignment horizontal="center" vertical="center"/>
    </xf>
    <xf numFmtId="0" fontId="4" fillId="0" borderId="90" xfId="0" applyFont="1" applyBorder="1" applyAlignment="1">
      <alignment horizontal="center" vertical="center"/>
    </xf>
    <xf numFmtId="0" fontId="4" fillId="0" borderId="85" xfId="0" applyFont="1" applyBorder="1" applyAlignment="1">
      <alignment horizontal="center" vertical="center"/>
    </xf>
    <xf numFmtId="0" fontId="4" fillId="0" borderId="78" xfId="10" applyBorder="1" applyAlignment="1">
      <alignment horizontal="center" vertical="center" wrapText="1"/>
    </xf>
    <xf numFmtId="0" fontId="4" fillId="0" borderId="88" xfId="10" applyBorder="1" applyAlignment="1">
      <alignment horizontal="center" vertical="center" wrapText="1"/>
    </xf>
    <xf numFmtId="0" fontId="6" fillId="0" borderId="84" xfId="10" applyFont="1" applyBorder="1" applyAlignment="1">
      <alignment horizontal="center" vertical="center" wrapText="1"/>
    </xf>
    <xf numFmtId="0" fontId="4" fillId="0" borderId="85" xfId="10" applyBorder="1" applyAlignment="1">
      <alignment horizontal="center" vertical="center"/>
    </xf>
    <xf numFmtId="0" fontId="4" fillId="0" borderId="86" xfId="10" applyBorder="1" applyAlignment="1">
      <alignment horizontal="center" vertical="center"/>
    </xf>
    <xf numFmtId="0" fontId="4" fillId="0" borderId="87" xfId="10" applyBorder="1" applyAlignment="1">
      <alignment horizontal="center" vertical="center"/>
    </xf>
    <xf numFmtId="0" fontId="4" fillId="0" borderId="86" xfId="10" applyBorder="1" applyAlignment="1">
      <alignment horizontal="center" vertical="center" wrapText="1"/>
    </xf>
    <xf numFmtId="0" fontId="4" fillId="0" borderId="48" xfId="10" applyBorder="1" applyAlignment="1">
      <alignment horizontal="center" vertical="center"/>
    </xf>
    <xf numFmtId="0" fontId="4" fillId="0" borderId="75" xfId="10" applyBorder="1" applyAlignment="1">
      <alignment horizontal="center" vertical="center"/>
    </xf>
    <xf numFmtId="0" fontId="4" fillId="0" borderId="76" xfId="10" applyBorder="1" applyAlignment="1">
      <alignment horizontal="center" vertical="center"/>
    </xf>
    <xf numFmtId="0" fontId="4" fillId="0" borderId="40" xfId="10" applyBorder="1" applyAlignment="1">
      <alignment horizontal="center" vertical="center" wrapText="1"/>
    </xf>
    <xf numFmtId="0" fontId="4" fillId="0" borderId="13" xfId="10" applyBorder="1" applyAlignment="1">
      <alignment horizontal="center" vertical="center" wrapText="1"/>
    </xf>
    <xf numFmtId="0" fontId="4" fillId="0" borderId="16" xfId="10" applyBorder="1" applyAlignment="1">
      <alignment horizontal="center" vertical="center" wrapText="1"/>
    </xf>
    <xf numFmtId="0" fontId="4" fillId="0" borderId="15" xfId="10" applyBorder="1" applyAlignment="1">
      <alignment horizontal="center" vertical="center" wrapText="1"/>
    </xf>
    <xf numFmtId="0" fontId="4" fillId="0" borderId="91" xfId="0" applyFont="1" applyBorder="1" applyAlignment="1">
      <alignment horizontal="center" vertical="center"/>
    </xf>
    <xf numFmtId="0" fontId="4" fillId="0" borderId="91" xfId="10" applyBorder="1" applyAlignment="1">
      <alignment horizontal="center" vertical="center" wrapText="1"/>
    </xf>
    <xf numFmtId="0" fontId="4" fillId="0" borderId="90" xfId="10" applyBorder="1" applyAlignment="1">
      <alignment horizontal="center" vertical="center" wrapText="1"/>
    </xf>
    <xf numFmtId="0" fontId="4" fillId="0" borderId="44" xfId="10" applyBorder="1" applyAlignment="1">
      <alignment horizontal="center" vertical="center"/>
    </xf>
    <xf numFmtId="0" fontId="4" fillId="0" borderId="74" xfId="10" applyBorder="1" applyAlignment="1">
      <alignment horizontal="center" vertical="center"/>
    </xf>
    <xf numFmtId="0" fontId="4" fillId="0" borderId="79" xfId="10" applyBorder="1" applyAlignment="1">
      <alignment horizontal="center" vertical="center"/>
    </xf>
    <xf numFmtId="0" fontId="4" fillId="0" borderId="73" xfId="10" applyBorder="1" applyAlignment="1">
      <alignment horizontal="center" vertical="center" wrapText="1"/>
    </xf>
    <xf numFmtId="194" fontId="6" fillId="13" borderId="87" xfId="0" applyNumberFormat="1" applyFont="1" applyFill="1" applyBorder="1" applyAlignment="1" applyProtection="1">
      <alignment horizontal="center" vertical="center" shrinkToFit="1"/>
      <protection locked="0"/>
    </xf>
    <xf numFmtId="0" fontId="6" fillId="0" borderId="87" xfId="0" applyFont="1" applyBorder="1" applyAlignment="1">
      <alignment horizontal="center" vertical="center"/>
    </xf>
    <xf numFmtId="0" fontId="6" fillId="13" borderId="87" xfId="0" applyFont="1" applyFill="1" applyBorder="1" applyAlignment="1" applyProtection="1">
      <alignment horizontal="center" vertical="center" shrinkToFit="1"/>
      <protection locked="0"/>
    </xf>
    <xf numFmtId="0" fontId="6" fillId="0" borderId="99" xfId="0" applyFont="1" applyBorder="1" applyAlignment="1">
      <alignment horizontal="center" vertical="center"/>
    </xf>
    <xf numFmtId="0" fontId="4" fillId="0" borderId="89" xfId="10" applyBorder="1" applyAlignment="1">
      <alignment horizontal="center" vertical="center"/>
    </xf>
    <xf numFmtId="0" fontId="4" fillId="0" borderId="12" xfId="10" applyBorder="1" applyAlignment="1">
      <alignment horizontal="center" vertical="center"/>
    </xf>
    <xf numFmtId="0" fontId="9" fillId="0" borderId="85" xfId="10" applyFont="1" applyBorder="1" applyAlignment="1">
      <alignment horizontal="center" vertical="center" wrapText="1"/>
    </xf>
    <xf numFmtId="0" fontId="4" fillId="0" borderId="89" xfId="10" applyBorder="1" applyAlignment="1">
      <alignment horizontal="center" vertical="center" wrapText="1"/>
    </xf>
    <xf numFmtId="0" fontId="4" fillId="0" borderId="14" xfId="10" applyBorder="1" applyAlignment="1">
      <alignment horizontal="center" vertical="center" wrapText="1"/>
    </xf>
    <xf numFmtId="0" fontId="4" fillId="0" borderId="96" xfId="10" applyBorder="1" applyAlignment="1">
      <alignment horizontal="center" vertical="center"/>
    </xf>
    <xf numFmtId="0" fontId="4" fillId="0" borderId="97" xfId="10" applyBorder="1" applyAlignment="1">
      <alignment horizontal="center" vertical="center"/>
    </xf>
    <xf numFmtId="0" fontId="4" fillId="0" borderId="96" xfId="10" applyBorder="1" applyAlignment="1">
      <alignment horizontal="center" vertical="center" wrapText="1"/>
    </xf>
    <xf numFmtId="0" fontId="4" fillId="0" borderId="97" xfId="10" applyBorder="1" applyAlignment="1">
      <alignment horizontal="center" vertical="center" wrapText="1"/>
    </xf>
    <xf numFmtId="0" fontId="4" fillId="0" borderId="98" xfId="10" applyBorder="1" applyAlignment="1">
      <alignment horizontal="center" vertical="center" wrapText="1"/>
    </xf>
    <xf numFmtId="0" fontId="4" fillId="0" borderId="90" xfId="10" applyBorder="1" applyAlignment="1">
      <alignment horizontal="center" vertical="center"/>
    </xf>
    <xf numFmtId="0" fontId="9" fillId="0" borderId="90" xfId="10" applyFont="1" applyBorder="1" applyAlignment="1">
      <alignment horizontal="center" vertical="center" wrapText="1"/>
    </xf>
    <xf numFmtId="0" fontId="10" fillId="13" borderId="96" xfId="0" applyFont="1" applyFill="1" applyBorder="1" applyAlignment="1" applyProtection="1">
      <alignment horizontal="center" vertical="center" shrinkToFit="1"/>
      <protection locked="0"/>
    </xf>
    <xf numFmtId="0" fontId="10" fillId="13" borderId="97" xfId="0" applyFont="1" applyFill="1" applyBorder="1" applyAlignment="1" applyProtection="1">
      <alignment horizontal="center" vertical="center" shrinkToFit="1"/>
      <protection locked="0"/>
    </xf>
    <xf numFmtId="0" fontId="10" fillId="0" borderId="96" xfId="0" applyFont="1" applyBorder="1" applyAlignment="1">
      <alignment horizontal="center" vertical="center" shrinkToFit="1"/>
    </xf>
    <xf numFmtId="0" fontId="10" fillId="0" borderId="97" xfId="0" applyFont="1" applyBorder="1" applyAlignment="1">
      <alignment horizontal="center" vertical="center" shrinkToFit="1"/>
    </xf>
    <xf numFmtId="0" fontId="6" fillId="15" borderId="75" xfId="0" applyFont="1" applyFill="1" applyBorder="1" applyAlignment="1">
      <alignment horizontal="distributed" vertical="center" shrinkToFit="1"/>
    </xf>
    <xf numFmtId="0" fontId="6" fillId="13" borderId="75" xfId="0" applyFont="1" applyFill="1" applyBorder="1" applyAlignment="1" applyProtection="1">
      <alignment horizontal="left" vertical="center" wrapText="1"/>
      <protection locked="0"/>
    </xf>
    <xf numFmtId="0" fontId="6" fillId="13" borderId="76" xfId="0" applyFont="1" applyFill="1" applyBorder="1" applyAlignment="1" applyProtection="1">
      <alignment horizontal="left" vertical="center" wrapText="1"/>
      <protection locked="0"/>
    </xf>
    <xf numFmtId="0" fontId="6" fillId="13" borderId="75" xfId="0" applyFont="1" applyFill="1" applyBorder="1" applyAlignment="1" applyProtection="1">
      <alignment horizontal="left" vertical="center" wrapText="1" shrinkToFit="1"/>
      <protection locked="0"/>
    </xf>
    <xf numFmtId="0" fontId="6" fillId="13" borderId="76" xfId="0" applyFont="1" applyFill="1" applyBorder="1" applyAlignment="1" applyProtection="1">
      <alignment horizontal="left" vertical="center" wrapText="1" shrinkToFit="1"/>
      <protection locked="0"/>
    </xf>
    <xf numFmtId="0" fontId="6" fillId="0" borderId="44" xfId="0" applyFont="1" applyBorder="1" applyAlignment="1">
      <alignment horizontal="center" vertical="center"/>
    </xf>
    <xf numFmtId="0" fontId="6" fillId="0" borderId="74"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shrinkToFit="1"/>
    </xf>
    <xf numFmtId="0" fontId="6" fillId="0" borderId="77" xfId="0" applyFont="1" applyBorder="1" applyAlignment="1">
      <alignment horizontal="center" vertical="center"/>
    </xf>
    <xf numFmtId="0" fontId="6" fillId="0" borderId="78" xfId="0" applyFont="1" applyBorder="1" applyAlignment="1">
      <alignment horizontal="center" vertical="center" shrinkToFit="1"/>
    </xf>
    <xf numFmtId="0" fontId="6" fillId="13" borderId="89" xfId="0" applyFont="1" applyFill="1" applyBorder="1" applyAlignment="1" applyProtection="1">
      <alignment horizontal="center" vertical="center"/>
      <protection locked="0"/>
    </xf>
    <xf numFmtId="0" fontId="6" fillId="13" borderId="12" xfId="0" applyFont="1" applyFill="1" applyBorder="1" applyAlignment="1" applyProtection="1">
      <alignment horizontal="center" vertical="center"/>
      <protection locked="0"/>
    </xf>
    <xf numFmtId="194" fontId="6" fillId="13" borderId="12" xfId="0" applyNumberFormat="1" applyFont="1" applyFill="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13" borderId="86" xfId="0" applyFont="1" applyFill="1" applyBorder="1" applyAlignment="1" applyProtection="1">
      <alignment horizontal="center" vertical="center"/>
      <protection locked="0"/>
    </xf>
    <xf numFmtId="0" fontId="6" fillId="13" borderId="87" xfId="0" applyFont="1" applyFill="1" applyBorder="1" applyAlignment="1" applyProtection="1">
      <alignment horizontal="center" vertical="center"/>
      <protection locked="0"/>
    </xf>
    <xf numFmtId="176" fontId="6" fillId="13" borderId="111" xfId="18" applyNumberFormat="1" applyFont="1" applyFill="1" applyBorder="1" applyAlignment="1" applyProtection="1">
      <alignment horizontal="center" vertical="center"/>
      <protection locked="0"/>
    </xf>
    <xf numFmtId="176" fontId="6" fillId="13" borderId="59" xfId="18" applyNumberFormat="1" applyFont="1" applyFill="1" applyBorder="1" applyAlignment="1" applyProtection="1">
      <alignment horizontal="center" vertical="center"/>
      <protection locked="0"/>
    </xf>
    <xf numFmtId="176" fontId="6" fillId="0" borderId="107" xfId="10" applyNumberFormat="1" applyFont="1" applyBorder="1" applyAlignment="1">
      <alignment horizontal="center" vertical="center" wrapText="1"/>
    </xf>
    <xf numFmtId="176" fontId="6" fillId="0" borderId="103" xfId="10" applyNumberFormat="1" applyFont="1" applyBorder="1" applyAlignment="1">
      <alignment horizontal="center" vertical="center" wrapText="1"/>
    </xf>
    <xf numFmtId="176" fontId="6" fillId="0" borderId="108" xfId="10" applyNumberFormat="1" applyFont="1" applyBorder="1" applyAlignment="1">
      <alignment horizontal="center" vertical="center" wrapText="1"/>
    </xf>
    <xf numFmtId="0" fontId="6" fillId="0" borderId="105" xfId="10" applyFont="1" applyBorder="1" applyAlignment="1">
      <alignment horizontal="center" vertical="center"/>
    </xf>
    <xf numFmtId="0" fontId="6" fillId="0" borderId="101" xfId="10" applyFont="1" applyBorder="1" applyAlignment="1">
      <alignment horizontal="center" vertical="center"/>
    </xf>
    <xf numFmtId="0" fontId="6" fillId="0" borderId="106" xfId="10" applyFont="1" applyBorder="1" applyAlignment="1">
      <alignment horizontal="center" vertical="center"/>
    </xf>
    <xf numFmtId="0" fontId="6" fillId="0" borderId="100" xfId="10" applyFont="1" applyBorder="1" applyAlignment="1">
      <alignment horizontal="right" vertical="center" wrapText="1"/>
    </xf>
    <xf numFmtId="0" fontId="6" fillId="0" borderId="101" xfId="10" applyFont="1" applyBorder="1" applyAlignment="1">
      <alignment horizontal="right" vertical="center" wrapText="1"/>
    </xf>
    <xf numFmtId="0" fontId="6" fillId="0" borderId="104" xfId="10" applyFont="1" applyBorder="1" applyAlignment="1">
      <alignment horizontal="center" vertical="center"/>
    </xf>
    <xf numFmtId="193" fontId="6" fillId="13" borderId="111" xfId="18" applyNumberFormat="1" applyFont="1" applyFill="1" applyBorder="1" applyAlignment="1" applyProtection="1">
      <alignment horizontal="center" vertical="center"/>
      <protection locked="0"/>
    </xf>
    <xf numFmtId="0" fontId="6" fillId="2" borderId="12" xfId="10" applyFont="1" applyFill="1" applyBorder="1" applyAlignment="1">
      <alignment horizontal="center" vertical="center"/>
    </xf>
    <xf numFmtId="193" fontId="6" fillId="13" borderId="59" xfId="18" applyNumberFormat="1" applyFont="1" applyFill="1" applyBorder="1" applyAlignment="1" applyProtection="1">
      <alignment horizontal="center" vertical="center"/>
      <protection locked="0"/>
    </xf>
    <xf numFmtId="0" fontId="6" fillId="0" borderId="14" xfId="10" applyFont="1" applyBorder="1" applyAlignment="1">
      <alignment horizontal="center" vertical="center"/>
    </xf>
    <xf numFmtId="0" fontId="6" fillId="0" borderId="110" xfId="10" applyFont="1" applyBorder="1" applyAlignment="1">
      <alignment horizontal="center" vertical="center"/>
    </xf>
    <xf numFmtId="0" fontId="6" fillId="0" borderId="60" xfId="10" applyFont="1" applyBorder="1" applyAlignment="1">
      <alignment horizontal="center" vertical="center"/>
    </xf>
    <xf numFmtId="0" fontId="6" fillId="0" borderId="19" xfId="10" applyFont="1" applyBorder="1" applyAlignment="1">
      <alignment horizontal="center" vertical="center"/>
    </xf>
    <xf numFmtId="0" fontId="6" fillId="0" borderId="23" xfId="10" applyFont="1" applyBorder="1" applyAlignment="1">
      <alignment horizontal="center" vertical="center"/>
    </xf>
    <xf numFmtId="38" fontId="6" fillId="0" borderId="110" xfId="10" applyNumberFormat="1" applyFont="1" applyBorder="1" applyAlignment="1">
      <alignment horizontal="center" vertical="center"/>
    </xf>
    <xf numFmtId="0" fontId="9" fillId="0" borderId="107" xfId="10" applyFont="1" applyBorder="1" applyAlignment="1">
      <alignment horizontal="center" vertical="center" wrapText="1"/>
    </xf>
    <xf numFmtId="0" fontId="9" fillId="0" borderId="103" xfId="10" applyFont="1" applyBorder="1" applyAlignment="1">
      <alignment horizontal="center" vertical="center" wrapText="1"/>
    </xf>
    <xf numFmtId="0" fontId="9" fillId="0" borderId="108" xfId="10" applyFont="1" applyBorder="1" applyAlignment="1">
      <alignment horizontal="center" vertical="center" wrapText="1"/>
    </xf>
    <xf numFmtId="185" fontId="6" fillId="2" borderId="19" xfId="10" applyNumberFormat="1" applyFont="1" applyFill="1" applyBorder="1" applyAlignment="1">
      <alignment horizontal="center" vertical="center"/>
    </xf>
    <xf numFmtId="185" fontId="6" fillId="0" borderId="110" xfId="10" applyNumberFormat="1" applyFont="1" applyBorder="1" applyAlignment="1">
      <alignment horizontal="center" vertical="center"/>
    </xf>
    <xf numFmtId="0" fontId="6" fillId="0" borderId="15" xfId="10" applyFont="1" applyBorder="1" applyAlignment="1">
      <alignment horizontal="center" vertical="center" wrapText="1"/>
    </xf>
    <xf numFmtId="0" fontId="6" fillId="0" borderId="13" xfId="10" applyFont="1" applyBorder="1" applyAlignment="1">
      <alignment horizontal="center" vertical="center" wrapText="1"/>
    </xf>
    <xf numFmtId="0" fontId="6" fillId="0" borderId="16" xfId="10" applyFont="1" applyBorder="1" applyAlignment="1">
      <alignment horizontal="center" vertical="center" wrapText="1"/>
    </xf>
    <xf numFmtId="176" fontId="6" fillId="2" borderId="12" xfId="10" applyNumberFormat="1" applyFont="1" applyFill="1" applyBorder="1" applyAlignment="1">
      <alignment horizontal="center" vertical="center"/>
    </xf>
    <xf numFmtId="0" fontId="6" fillId="0" borderId="107" xfId="10" applyFont="1" applyBorder="1" applyAlignment="1">
      <alignment horizontal="center" vertical="center"/>
    </xf>
    <xf numFmtId="0" fontId="6" fillId="0" borderId="103" xfId="10" applyFont="1" applyBorder="1" applyAlignment="1">
      <alignment horizontal="center" vertical="center"/>
    </xf>
    <xf numFmtId="0" fontId="6" fillId="0" borderId="108" xfId="10" applyFont="1" applyBorder="1" applyAlignment="1">
      <alignment horizontal="center" vertical="center"/>
    </xf>
    <xf numFmtId="0" fontId="6" fillId="0" borderId="9" xfId="10" applyFont="1" applyBorder="1" applyAlignment="1">
      <alignment horizontal="center" vertical="center" textRotation="255"/>
    </xf>
    <xf numFmtId="0" fontId="6" fillId="0" borderId="10" xfId="10" applyFont="1" applyBorder="1" applyAlignment="1">
      <alignment horizontal="center" vertical="center" textRotation="255"/>
    </xf>
    <xf numFmtId="0" fontId="6" fillId="0" borderId="113" xfId="10" applyFont="1" applyBorder="1" applyAlignment="1">
      <alignment horizontal="center" vertical="center" textRotation="255"/>
    </xf>
    <xf numFmtId="0" fontId="6" fillId="0" borderId="114" xfId="10" applyFont="1" applyBorder="1" applyAlignment="1">
      <alignment horizontal="center" vertical="center" textRotation="255"/>
    </xf>
    <xf numFmtId="176" fontId="6" fillId="2" borderId="24" xfId="10" applyNumberFormat="1" applyFont="1" applyFill="1" applyBorder="1" applyAlignment="1">
      <alignment horizontal="center" vertical="center"/>
    </xf>
    <xf numFmtId="0" fontId="6" fillId="0" borderId="47" xfId="10" applyFont="1" applyBorder="1" applyAlignment="1">
      <alignment horizontal="center" vertical="center" wrapText="1"/>
    </xf>
    <xf numFmtId="0" fontId="6" fillId="0" borderId="74" xfId="10" applyFont="1" applyBorder="1" applyAlignment="1">
      <alignment horizontal="center" vertical="center" wrapText="1"/>
    </xf>
    <xf numFmtId="0" fontId="6" fillId="0" borderId="45" xfId="10" applyFont="1" applyBorder="1" applyAlignment="1">
      <alignment horizontal="center" vertical="center" wrapText="1"/>
    </xf>
    <xf numFmtId="0" fontId="6" fillId="2" borderId="24" xfId="10" applyFont="1" applyFill="1" applyBorder="1" applyAlignment="1">
      <alignment horizontal="center" vertical="center"/>
    </xf>
    <xf numFmtId="180" fontId="6" fillId="2" borderId="19" xfId="10" applyNumberFormat="1" applyFont="1" applyFill="1" applyBorder="1" applyAlignment="1">
      <alignment horizontal="center" vertical="center"/>
    </xf>
    <xf numFmtId="0" fontId="6" fillId="2" borderId="9" xfId="10" applyFont="1" applyFill="1" applyBorder="1" applyAlignment="1">
      <alignment horizontal="left" vertical="top" wrapText="1"/>
    </xf>
    <xf numFmtId="0" fontId="6" fillId="2" borderId="10" xfId="10" applyFont="1" applyFill="1" applyBorder="1" applyAlignment="1">
      <alignment horizontal="left" vertical="top" wrapText="1"/>
    </xf>
    <xf numFmtId="0" fontId="6" fillId="2" borderId="81" xfId="10" applyFont="1" applyFill="1" applyBorder="1" applyAlignment="1">
      <alignment horizontal="left" vertical="top" wrapText="1"/>
    </xf>
    <xf numFmtId="0" fontId="6" fillId="2" borderId="55" xfId="10" applyFont="1" applyFill="1" applyBorder="1" applyAlignment="1">
      <alignment horizontal="left" vertical="top" wrapText="1"/>
    </xf>
    <xf numFmtId="0" fontId="6" fillId="2" borderId="0" xfId="10" applyFont="1" applyFill="1" applyAlignment="1">
      <alignment horizontal="left" vertical="top" wrapText="1"/>
    </xf>
    <xf numFmtId="0" fontId="6" fillId="2" borderId="82" xfId="10" applyFont="1" applyFill="1" applyBorder="1" applyAlignment="1">
      <alignment horizontal="left" vertical="top" wrapText="1"/>
    </xf>
    <xf numFmtId="0" fontId="6" fillId="2" borderId="50" xfId="10" applyFont="1" applyFill="1" applyBorder="1" applyAlignment="1">
      <alignment horizontal="left" vertical="top" wrapText="1"/>
    </xf>
    <xf numFmtId="0" fontId="6" fillId="2" borderId="43" xfId="10" applyFont="1" applyFill="1" applyBorder="1" applyAlignment="1">
      <alignment horizontal="left" vertical="top" wrapText="1"/>
    </xf>
    <xf numFmtId="0" fontId="6" fillId="2" borderId="83" xfId="10" applyFont="1" applyFill="1" applyBorder="1" applyAlignment="1">
      <alignment horizontal="left" vertical="top" wrapText="1"/>
    </xf>
    <xf numFmtId="180" fontId="6" fillId="0" borderId="19" xfId="10" applyNumberFormat="1" applyFont="1" applyBorder="1" applyAlignment="1">
      <alignment horizontal="center" vertical="center"/>
    </xf>
    <xf numFmtId="0" fontId="6" fillId="0" borderId="21" xfId="10" applyFont="1" applyBorder="1" applyAlignment="1">
      <alignment horizontal="center" vertical="center"/>
    </xf>
    <xf numFmtId="0" fontId="6" fillId="0" borderId="115" xfId="10" applyFont="1" applyBorder="1" applyAlignment="1">
      <alignment horizontal="center" vertical="center"/>
    </xf>
    <xf numFmtId="0" fontId="6" fillId="0" borderId="26" xfId="10" applyFont="1" applyBorder="1" applyAlignment="1">
      <alignment horizontal="center" vertical="center"/>
    </xf>
    <xf numFmtId="0" fontId="6" fillId="0" borderId="24" xfId="10" applyFont="1" applyBorder="1" applyAlignment="1">
      <alignment horizontal="center" vertical="center"/>
    </xf>
    <xf numFmtId="0" fontId="6" fillId="0" borderId="112" xfId="10" applyFont="1" applyBorder="1" applyAlignment="1">
      <alignment horizontal="center" vertical="center"/>
    </xf>
    <xf numFmtId="0" fontId="6" fillId="0" borderId="107" xfId="10" applyFont="1" applyBorder="1" applyAlignment="1">
      <alignment horizontal="center" vertical="center" wrapText="1"/>
    </xf>
    <xf numFmtId="0" fontId="6" fillId="0" borderId="103" xfId="10" applyFont="1" applyBorder="1" applyAlignment="1">
      <alignment horizontal="center" vertical="center" wrapText="1"/>
    </xf>
    <xf numFmtId="0" fontId="6" fillId="0" borderId="108" xfId="10" applyFont="1" applyBorder="1" applyAlignment="1">
      <alignment horizontal="center" vertical="center" wrapText="1"/>
    </xf>
    <xf numFmtId="0" fontId="6" fillId="0" borderId="94" xfId="10" applyFont="1" applyBorder="1" applyAlignment="1">
      <alignment horizontal="center" vertical="center"/>
    </xf>
    <xf numFmtId="0" fontId="6" fillId="0" borderId="77" xfId="10" applyFont="1" applyBorder="1" applyAlignment="1">
      <alignment horizontal="center" vertical="center"/>
    </xf>
    <xf numFmtId="0" fontId="6" fillId="0" borderId="89" xfId="10" applyFont="1" applyBorder="1" applyAlignment="1">
      <alignment horizontal="center" vertical="center"/>
    </xf>
    <xf numFmtId="0" fontId="6" fillId="0" borderId="78" xfId="10" applyFont="1" applyBorder="1" applyAlignment="1">
      <alignment horizontal="center" vertical="center"/>
    </xf>
    <xf numFmtId="194" fontId="6" fillId="0" borderId="86" xfId="10" applyNumberFormat="1" applyFont="1" applyBorder="1" applyAlignment="1">
      <alignment horizontal="center" vertical="center"/>
    </xf>
    <xf numFmtId="194" fontId="6" fillId="0" borderId="87" xfId="10" applyNumberFormat="1" applyFont="1" applyBorder="1" applyAlignment="1">
      <alignment horizontal="center" vertical="center"/>
    </xf>
    <xf numFmtId="194" fontId="6" fillId="0" borderId="38" xfId="10" applyNumberFormat="1" applyFont="1" applyBorder="1" applyAlignment="1">
      <alignment horizontal="center" vertical="center"/>
    </xf>
    <xf numFmtId="0" fontId="6" fillId="15" borderId="223" xfId="10" applyFont="1" applyFill="1" applyBorder="1" applyAlignment="1">
      <alignment horizontal="center" vertical="center"/>
    </xf>
    <xf numFmtId="0" fontId="6" fillId="15" borderId="87" xfId="10" applyFont="1" applyFill="1" applyBorder="1" applyAlignment="1">
      <alignment horizontal="center" vertical="center"/>
    </xf>
    <xf numFmtId="193" fontId="6" fillId="0" borderId="87" xfId="10" applyNumberFormat="1" applyFont="1" applyBorder="1" applyAlignment="1">
      <alignment horizontal="center" vertical="center"/>
    </xf>
    <xf numFmtId="193" fontId="6" fillId="0" borderId="38" xfId="10" applyNumberFormat="1" applyFont="1" applyBorder="1" applyAlignment="1">
      <alignment horizontal="center" vertical="center"/>
    </xf>
    <xf numFmtId="0" fontId="6" fillId="15" borderId="99" xfId="10" applyFont="1" applyFill="1" applyBorder="1" applyAlignment="1">
      <alignment horizontal="center" vertical="center"/>
    </xf>
    <xf numFmtId="0" fontId="6" fillId="0" borderId="13" xfId="12" applyFont="1" applyBorder="1" applyAlignment="1">
      <alignment horizontal="distributed" vertical="center"/>
    </xf>
    <xf numFmtId="0" fontId="6" fillId="0" borderId="10" xfId="12" applyFont="1" applyBorder="1" applyAlignment="1">
      <alignment horizontal="distributed" vertical="center"/>
    </xf>
    <xf numFmtId="0" fontId="6" fillId="0" borderId="7" xfId="12" applyFont="1" applyBorder="1" applyAlignment="1">
      <alignment horizontal="distributed" vertical="center"/>
    </xf>
    <xf numFmtId="0" fontId="6" fillId="0" borderId="120" xfId="12" applyFont="1" applyBorder="1" applyAlignment="1">
      <alignment horizontal="center" vertical="center" wrapText="1"/>
    </xf>
    <xf numFmtId="0" fontId="6" fillId="0" borderId="24" xfId="12" applyFont="1" applyBorder="1" applyAlignment="1">
      <alignment horizontal="center" vertical="center" wrapText="1"/>
    </xf>
    <xf numFmtId="0" fontId="6" fillId="0" borderId="77" xfId="12" applyFont="1" applyBorder="1" applyAlignment="1">
      <alignment horizontal="center" vertical="center"/>
    </xf>
    <xf numFmtId="0" fontId="6" fillId="0" borderId="118" xfId="12" applyFont="1" applyBorder="1" applyAlignment="1">
      <alignment horizontal="center" vertical="center" wrapText="1"/>
    </xf>
    <xf numFmtId="0" fontId="6" fillId="0" borderId="119" xfId="12" applyFont="1" applyBorder="1" applyAlignment="1">
      <alignment horizontal="center" vertical="center"/>
    </xf>
    <xf numFmtId="0" fontId="6" fillId="0" borderId="74" xfId="12" applyFont="1" applyBorder="1" applyAlignment="1">
      <alignment horizontal="center" vertical="center"/>
    </xf>
    <xf numFmtId="0" fontId="6" fillId="0" borderId="79" xfId="12" applyFont="1" applyBorder="1" applyAlignment="1">
      <alignment horizontal="center" vertical="center"/>
    </xf>
    <xf numFmtId="0" fontId="6" fillId="0" borderId="2" xfId="12" applyFont="1" applyBorder="1" applyAlignment="1">
      <alignment horizontal="center" vertical="center" textRotation="255"/>
    </xf>
    <xf numFmtId="0" fontId="6" fillId="0" borderId="6" xfId="12" applyFont="1" applyBorder="1" applyAlignment="1">
      <alignment horizontal="center" vertical="center" textRotation="255"/>
    </xf>
    <xf numFmtId="0" fontId="6" fillId="0" borderId="13" xfId="12" applyFont="1" applyBorder="1" applyAlignment="1">
      <alignment horizontal="distributed" vertical="center" wrapText="1"/>
    </xf>
    <xf numFmtId="0" fontId="6" fillId="0" borderId="5" xfId="12" applyFont="1" applyBorder="1" applyAlignment="1">
      <alignment horizontal="center" vertical="center" textRotation="255"/>
    </xf>
    <xf numFmtId="0" fontId="6" fillId="0" borderId="3" xfId="12" applyFont="1" applyBorder="1" applyAlignment="1">
      <alignment horizontal="distributed" vertical="center"/>
    </xf>
    <xf numFmtId="0" fontId="6" fillId="0" borderId="0" xfId="12" applyFont="1" applyAlignment="1">
      <alignment horizontal="distributed" vertical="center"/>
    </xf>
    <xf numFmtId="0" fontId="6" fillId="0" borderId="3" xfId="12" applyFont="1" applyBorder="1" applyAlignment="1">
      <alignment horizontal="distributed" vertical="center" wrapText="1"/>
    </xf>
    <xf numFmtId="0" fontId="6" fillId="0" borderId="0" xfId="12" applyFont="1" applyAlignment="1">
      <alignment horizontal="distributed" vertical="center" wrapText="1"/>
    </xf>
    <xf numFmtId="0" fontId="6" fillId="0" borderId="4" xfId="12" applyFont="1" applyBorder="1" applyAlignment="1">
      <alignment horizontal="center" vertical="center" wrapText="1"/>
    </xf>
    <xf numFmtId="0" fontId="6" fillId="0" borderId="1" xfId="12" applyFont="1" applyBorder="1" applyAlignment="1">
      <alignment horizontal="center" vertical="center" wrapText="1"/>
    </xf>
    <xf numFmtId="0" fontId="6" fillId="0" borderId="115" xfId="12" applyFont="1" applyBorder="1" applyAlignment="1">
      <alignment horizontal="distributed" vertical="center"/>
    </xf>
    <xf numFmtId="185" fontId="6" fillId="0" borderId="102" xfId="12" applyNumberFormat="1" applyFont="1" applyBorder="1" applyAlignment="1">
      <alignment horizontal="right" vertical="center"/>
    </xf>
    <xf numFmtId="185" fontId="6" fillId="0" borderId="109" xfId="12" applyNumberFormat="1" applyFont="1" applyBorder="1" applyAlignment="1">
      <alignment horizontal="right" vertical="center"/>
    </xf>
    <xf numFmtId="0" fontId="92" fillId="0" borderId="13" xfId="12" applyFont="1" applyBorder="1" applyAlignment="1">
      <alignment horizontal="distributed" vertical="center"/>
    </xf>
    <xf numFmtId="0" fontId="92" fillId="0" borderId="13" xfId="12" applyFont="1" applyBorder="1" applyAlignment="1">
      <alignment horizontal="distributed" vertical="center" wrapText="1"/>
    </xf>
    <xf numFmtId="0" fontId="6" fillId="13" borderId="13" xfId="12" applyFont="1" applyFill="1" applyBorder="1" applyAlignment="1" applyProtection="1">
      <alignment horizontal="distributed" vertical="center"/>
      <protection locked="0"/>
    </xf>
    <xf numFmtId="0" fontId="6" fillId="0" borderId="62" xfId="12" applyFont="1" applyBorder="1" applyAlignment="1">
      <alignment horizontal="distributed" vertical="center" wrapText="1"/>
    </xf>
    <xf numFmtId="0" fontId="92" fillId="0" borderId="13" xfId="12" applyFont="1" applyBorder="1" applyAlignment="1">
      <alignment horizontal="distributed" vertical="center" shrinkToFit="1"/>
    </xf>
    <xf numFmtId="0" fontId="86" fillId="0" borderId="7" xfId="12" applyFont="1" applyBorder="1" applyAlignment="1">
      <alignment horizontal="left" vertical="center" wrapText="1"/>
    </xf>
    <xf numFmtId="0" fontId="6" fillId="0" borderId="54" xfId="12" applyFont="1" applyBorder="1" applyAlignment="1">
      <alignment horizontal="center" vertical="center" textRotation="255"/>
    </xf>
    <xf numFmtId="0" fontId="6" fillId="0" borderId="4" xfId="12" applyFont="1" applyBorder="1" applyAlignment="1">
      <alignment horizontal="center" vertical="center" textRotation="255"/>
    </xf>
    <xf numFmtId="0" fontId="6" fillId="0" borderId="55" xfId="12" applyFont="1" applyBorder="1" applyAlignment="1">
      <alignment horizontal="center" vertical="center" textRotation="255"/>
    </xf>
    <xf numFmtId="0" fontId="6" fillId="0" borderId="1" xfId="12" applyFont="1" applyBorder="1" applyAlignment="1">
      <alignment horizontal="center" vertical="center" textRotation="255"/>
    </xf>
    <xf numFmtId="0" fontId="6" fillId="0" borderId="113" xfId="12" applyFont="1" applyBorder="1" applyAlignment="1">
      <alignment horizontal="center" vertical="center" textRotation="255"/>
    </xf>
    <xf numFmtId="0" fontId="6" fillId="0" borderId="18" xfId="12" applyFont="1" applyBorder="1" applyAlignment="1">
      <alignment horizontal="center" vertical="center" textRotation="255"/>
    </xf>
    <xf numFmtId="0" fontId="9" fillId="0" borderId="0" xfId="12" applyFont="1" applyAlignment="1">
      <alignment horizontal="distributed" vertical="center" wrapText="1"/>
    </xf>
    <xf numFmtId="0" fontId="9" fillId="0" borderId="195" xfId="12" applyFont="1" applyBorder="1" applyAlignment="1">
      <alignment horizontal="distributed" vertical="center" wrapText="1"/>
    </xf>
    <xf numFmtId="0" fontId="6" fillId="0" borderId="62" xfId="12" applyFont="1" applyBorder="1" applyAlignment="1">
      <alignment horizontal="distributed" vertical="center"/>
    </xf>
    <xf numFmtId="0" fontId="6" fillId="0" borderId="116" xfId="12" applyFont="1" applyBorder="1" applyAlignment="1">
      <alignment horizontal="center" vertical="center" textRotation="255"/>
    </xf>
    <xf numFmtId="0" fontId="6" fillId="0" borderId="222" xfId="12" applyFont="1" applyBorder="1" applyAlignment="1">
      <alignment horizontal="center" vertical="center" textRotation="255"/>
    </xf>
    <xf numFmtId="0" fontId="9" fillId="0" borderId="116" xfId="12" applyFont="1" applyBorder="1" applyAlignment="1">
      <alignment horizontal="center" vertical="center" textRotation="255" wrapText="1"/>
    </xf>
    <xf numFmtId="0" fontId="9" fillId="0" borderId="117" xfId="12" applyFont="1" applyBorder="1" applyAlignment="1">
      <alignment horizontal="center" vertical="center" textRotation="255" wrapText="1"/>
    </xf>
    <xf numFmtId="0" fontId="9" fillId="0" borderId="55" xfId="12" applyFont="1" applyBorder="1" applyAlignment="1">
      <alignment horizontal="center" vertical="center" textRotation="255" wrapText="1"/>
    </xf>
    <xf numFmtId="0" fontId="9" fillId="0" borderId="0" xfId="12" applyFont="1" applyAlignment="1">
      <alignment horizontal="center" vertical="center" textRotation="255" wrapText="1"/>
    </xf>
    <xf numFmtId="0" fontId="9" fillId="0" borderId="113" xfId="12" applyFont="1" applyBorder="1" applyAlignment="1">
      <alignment horizontal="center" vertical="center" textRotation="255" wrapText="1"/>
    </xf>
    <xf numFmtId="0" fontId="9" fillId="0" borderId="114" xfId="12" applyFont="1" applyBorder="1" applyAlignment="1">
      <alignment horizontal="center" vertical="center" textRotation="255" wrapText="1"/>
    </xf>
    <xf numFmtId="0" fontId="9" fillId="0" borderId="43" xfId="12" applyFont="1" applyBorder="1" applyAlignment="1">
      <alignment horizontal="distributed" vertical="center" wrapText="1"/>
    </xf>
    <xf numFmtId="0" fontId="6" fillId="0" borderId="80" xfId="12" applyFont="1" applyBorder="1" applyAlignment="1">
      <alignment horizontal="center" vertical="center"/>
    </xf>
    <xf numFmtId="0" fontId="6" fillId="0" borderId="10" xfId="12" applyFont="1" applyBorder="1" applyAlignment="1">
      <alignment horizontal="center" vertical="center"/>
    </xf>
    <xf numFmtId="0" fontId="6" fillId="0" borderId="46" xfId="12" applyFont="1" applyBorder="1" applyAlignment="1">
      <alignment horizontal="center" vertical="center"/>
    </xf>
    <xf numFmtId="0" fontId="6" fillId="0" borderId="5" xfId="12" applyFont="1" applyBorder="1" applyAlignment="1">
      <alignment horizontal="center"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6" fillId="0" borderId="6" xfId="12" applyFont="1" applyBorder="1" applyAlignment="1">
      <alignment horizontal="center" vertical="center"/>
    </xf>
    <xf numFmtId="0" fontId="6" fillId="0" borderId="7" xfId="12" applyFont="1" applyBorder="1" applyAlignment="1">
      <alignment horizontal="center" vertical="center"/>
    </xf>
    <xf numFmtId="0" fontId="6" fillId="0" borderId="8" xfId="12" applyFont="1" applyBorder="1" applyAlignment="1">
      <alignment horizontal="center" vertical="center"/>
    </xf>
    <xf numFmtId="38" fontId="6" fillId="2" borderId="12" xfId="4" applyFont="1" applyFill="1" applyBorder="1" applyAlignment="1" applyProtection="1">
      <alignment horizontal="center" vertical="center"/>
    </xf>
    <xf numFmtId="0" fontId="6" fillId="0" borderId="12" xfId="12" applyFont="1" applyBorder="1" applyAlignment="1">
      <alignment horizontal="center" vertical="center"/>
    </xf>
    <xf numFmtId="0" fontId="10" fillId="2" borderId="12" xfId="12" applyFont="1" applyFill="1" applyBorder="1" applyAlignment="1">
      <alignment horizontal="center" vertical="center"/>
    </xf>
    <xf numFmtId="0" fontId="6" fillId="0" borderId="63" xfId="12" applyFont="1" applyBorder="1" applyAlignment="1">
      <alignment horizontal="center" vertical="center" wrapText="1"/>
    </xf>
    <xf numFmtId="0" fontId="6" fillId="0" borderId="92" xfId="12" applyFont="1" applyBorder="1" applyAlignment="1">
      <alignment horizontal="center" vertical="center"/>
    </xf>
    <xf numFmtId="0" fontId="6" fillId="0" borderId="9" xfId="12" applyFont="1" applyBorder="1" applyAlignment="1">
      <alignment horizontal="center" vertical="center"/>
    </xf>
    <xf numFmtId="0" fontId="6" fillId="0" borderId="121" xfId="12" applyFont="1" applyBorder="1" applyAlignment="1">
      <alignment horizontal="center" vertical="center"/>
    </xf>
    <xf numFmtId="0" fontId="6" fillId="0" borderId="55" xfId="12" applyFont="1" applyBorder="1" applyAlignment="1">
      <alignment horizontal="center" vertical="center"/>
    </xf>
    <xf numFmtId="0" fontId="6" fillId="0" borderId="80" xfId="12" applyFont="1" applyBorder="1" applyAlignment="1">
      <alignment horizontal="center" vertical="center" wrapText="1"/>
    </xf>
    <xf numFmtId="0" fontId="6" fillId="0" borderId="81" xfId="12" applyFont="1" applyBorder="1" applyAlignment="1">
      <alignment horizontal="center" vertical="center"/>
    </xf>
    <xf numFmtId="0" fontId="6" fillId="0" borderId="122" xfId="12" applyFont="1" applyBorder="1" applyAlignment="1">
      <alignment horizontal="center" vertical="center"/>
    </xf>
    <xf numFmtId="179" fontId="6" fillId="0" borderId="123" xfId="12" applyNumberFormat="1" applyFont="1" applyBorder="1" applyAlignment="1">
      <alignment horizontal="center"/>
    </xf>
    <xf numFmtId="179" fontId="6" fillId="2" borderId="19" xfId="12" applyNumberFormat="1" applyFont="1" applyFill="1" applyBorder="1" applyAlignment="1">
      <alignment horizontal="center" vertical="center"/>
    </xf>
    <xf numFmtId="0" fontId="6" fillId="0" borderId="77" xfId="10" applyFont="1" applyBorder="1" applyAlignment="1">
      <alignment horizontal="right" vertical="center"/>
    </xf>
    <xf numFmtId="0" fontId="6" fillId="0" borderId="47" xfId="10" applyFont="1" applyBorder="1" applyAlignment="1">
      <alignment horizontal="right" vertical="center"/>
    </xf>
    <xf numFmtId="0" fontId="6" fillId="0" borderId="94" xfId="10" applyFont="1" applyBorder="1" applyAlignment="1">
      <alignment vertical="center" wrapText="1"/>
    </xf>
    <xf numFmtId="0" fontId="6" fillId="0" borderId="77" xfId="10" applyFont="1" applyBorder="1" applyAlignment="1">
      <alignment vertical="center" wrapText="1"/>
    </xf>
    <xf numFmtId="0" fontId="10" fillId="2" borderId="19" xfId="12" applyFont="1" applyFill="1" applyBorder="1" applyAlignment="1">
      <alignment horizontal="center" vertical="center"/>
    </xf>
    <xf numFmtId="179" fontId="6" fillId="2" borderId="12" xfId="12" applyNumberFormat="1" applyFont="1" applyFill="1" applyBorder="1" applyAlignment="1">
      <alignment horizontal="center" vertical="center"/>
    </xf>
    <xf numFmtId="180" fontId="6" fillId="2" borderId="19" xfId="12" applyNumberFormat="1" applyFont="1" applyFill="1" applyBorder="1" applyAlignment="1">
      <alignment horizontal="center" vertical="center"/>
    </xf>
    <xf numFmtId="181" fontId="6" fillId="0" borderId="123" xfId="12" applyNumberFormat="1" applyFont="1" applyBorder="1" applyAlignment="1">
      <alignment horizontal="center"/>
    </xf>
    <xf numFmtId="181" fontId="6" fillId="2" borderId="12" xfId="12" applyNumberFormat="1" applyFont="1" applyFill="1" applyBorder="1" applyAlignment="1">
      <alignment horizontal="center" vertical="center"/>
    </xf>
    <xf numFmtId="181" fontId="6" fillId="2" borderId="14" xfId="12" applyNumberFormat="1" applyFont="1" applyFill="1" applyBorder="1" applyAlignment="1">
      <alignment horizontal="center" vertical="center"/>
    </xf>
    <xf numFmtId="181" fontId="6" fillId="2" borderId="19" xfId="12" applyNumberFormat="1" applyFont="1" applyFill="1" applyBorder="1" applyAlignment="1">
      <alignment horizontal="center" vertical="center"/>
    </xf>
    <xf numFmtId="181" fontId="6" fillId="2" borderId="23" xfId="12" applyNumberFormat="1" applyFont="1" applyFill="1" applyBorder="1" applyAlignment="1">
      <alignment horizontal="center" vertical="center"/>
    </xf>
    <xf numFmtId="0" fontId="9" fillId="0" borderId="0" xfId="10" applyFont="1" applyAlignment="1">
      <alignment vertical="top" wrapText="1"/>
    </xf>
    <xf numFmtId="0" fontId="6" fillId="13" borderId="37" xfId="10" applyFont="1" applyFill="1" applyBorder="1" applyAlignment="1" applyProtection="1">
      <alignment horizontal="center" vertical="center"/>
      <protection locked="0"/>
    </xf>
    <xf numFmtId="0" fontId="6" fillId="13" borderId="87" xfId="10" applyFont="1" applyFill="1" applyBorder="1" applyAlignment="1" applyProtection="1">
      <alignment horizontal="center" vertical="center"/>
      <protection locked="0"/>
    </xf>
    <xf numFmtId="0" fontId="6" fillId="13" borderId="38" xfId="10" applyFont="1" applyFill="1" applyBorder="1" applyAlignment="1" applyProtection="1">
      <alignment horizontal="center" vertical="center"/>
      <protection locked="0"/>
    </xf>
    <xf numFmtId="0" fontId="6" fillId="0" borderId="89" xfId="10" applyFont="1" applyBorder="1" applyAlignment="1">
      <alignment vertical="center" wrapText="1"/>
    </xf>
    <xf numFmtId="0" fontId="6" fillId="0" borderId="12" xfId="10" applyFont="1" applyBorder="1" applyAlignment="1">
      <alignment vertical="center" wrapText="1"/>
    </xf>
    <xf numFmtId="0" fontId="6" fillId="0" borderId="16" xfId="10" applyFont="1" applyBorder="1" applyAlignment="1">
      <alignment vertical="center"/>
    </xf>
    <xf numFmtId="0" fontId="6" fillId="0" borderId="12" xfId="10" applyFont="1" applyBorder="1" applyAlignment="1">
      <alignment vertical="center"/>
    </xf>
    <xf numFmtId="0" fontId="6" fillId="0" borderId="14" xfId="10" applyFont="1" applyBorder="1" applyAlignment="1">
      <alignment vertical="center"/>
    </xf>
    <xf numFmtId="0" fontId="6" fillId="0" borderId="37" xfId="10" applyFont="1" applyBorder="1" applyAlignment="1">
      <alignment vertical="center"/>
    </xf>
    <xf numFmtId="0" fontId="6" fillId="0" borderId="87" xfId="10" applyFont="1" applyBorder="1" applyAlignment="1">
      <alignment vertical="center"/>
    </xf>
    <xf numFmtId="0" fontId="6" fillId="0" borderId="99" xfId="10" applyFont="1" applyBorder="1" applyAlignment="1">
      <alignment vertical="center"/>
    </xf>
    <xf numFmtId="0" fontId="6" fillId="13" borderId="12" xfId="10" applyFont="1" applyFill="1" applyBorder="1" applyAlignment="1" applyProtection="1">
      <alignment horizontal="center" vertical="center"/>
      <protection locked="0"/>
    </xf>
    <xf numFmtId="0" fontId="6" fillId="0" borderId="16" xfId="10" applyFont="1" applyBorder="1" applyAlignment="1">
      <alignment horizontal="center" vertical="center"/>
    </xf>
    <xf numFmtId="0" fontId="6" fillId="0" borderId="45" xfId="10" applyFont="1" applyBorder="1" applyAlignment="1">
      <alignment horizontal="center" vertical="center"/>
    </xf>
    <xf numFmtId="0" fontId="6" fillId="13" borderId="89" xfId="10" applyFont="1" applyFill="1" applyBorder="1" applyAlignment="1" applyProtection="1">
      <alignment vertical="center" wrapText="1"/>
      <protection locked="0"/>
    </xf>
    <xf numFmtId="0" fontId="6" fillId="13" borderId="12" xfId="10" applyFont="1" applyFill="1" applyBorder="1" applyAlignment="1" applyProtection="1">
      <alignment vertical="center" wrapText="1"/>
      <protection locked="0"/>
    </xf>
    <xf numFmtId="0" fontId="6" fillId="13" borderId="86" xfId="10" applyFont="1" applyFill="1" applyBorder="1" applyAlignment="1" applyProtection="1">
      <alignment vertical="center" wrapText="1"/>
      <protection locked="0"/>
    </xf>
    <xf numFmtId="0" fontId="6" fillId="13" borderId="87" xfId="10" applyFont="1" applyFill="1" applyBorder="1" applyAlignment="1" applyProtection="1">
      <alignment vertical="center" wrapText="1"/>
      <protection locked="0"/>
    </xf>
    <xf numFmtId="0" fontId="6" fillId="0" borderId="12" xfId="10" applyFont="1" applyBorder="1" applyAlignment="1">
      <alignment horizontal="right" vertical="center"/>
    </xf>
    <xf numFmtId="0" fontId="6" fillId="0" borderId="15" xfId="10" applyFont="1" applyBorder="1" applyAlignment="1">
      <alignment horizontal="right" vertical="center"/>
    </xf>
    <xf numFmtId="0" fontId="6" fillId="0" borderId="87" xfId="10" applyFont="1" applyBorder="1" applyAlignment="1">
      <alignment horizontal="right" vertical="center"/>
    </xf>
    <xf numFmtId="0" fontId="6" fillId="0" borderId="38" xfId="10" applyFont="1" applyBorder="1" applyAlignment="1">
      <alignment horizontal="right" vertical="center"/>
    </xf>
    <xf numFmtId="185" fontId="6" fillId="0" borderId="102" xfId="12" applyNumberFormat="1" applyFont="1" applyBorder="1" applyAlignment="1">
      <alignment horizontal="center" vertical="center"/>
    </xf>
    <xf numFmtId="185" fontId="6" fillId="0" borderId="103" xfId="12" applyNumberFormat="1" applyFont="1" applyBorder="1" applyAlignment="1">
      <alignment horizontal="center" vertical="center"/>
    </xf>
    <xf numFmtId="185" fontId="6" fillId="0" borderId="109" xfId="12" applyNumberFormat="1" applyFont="1" applyBorder="1" applyAlignment="1">
      <alignment horizontal="center" vertical="center"/>
    </xf>
    <xf numFmtId="179" fontId="6" fillId="0" borderId="12" xfId="12" applyNumberFormat="1" applyFont="1" applyBorder="1" applyAlignment="1">
      <alignment horizontal="center" vertical="center"/>
    </xf>
    <xf numFmtId="180" fontId="6" fillId="0" borderId="12" xfId="12" applyNumberFormat="1" applyFont="1" applyBorder="1" applyAlignment="1">
      <alignment horizontal="center" vertical="center"/>
    </xf>
    <xf numFmtId="180" fontId="6" fillId="0" borderId="14" xfId="12" applyNumberFormat="1" applyFont="1" applyBorder="1" applyAlignment="1">
      <alignment horizontal="center" vertical="center"/>
    </xf>
    <xf numFmtId="176" fontId="10" fillId="0" borderId="39" xfId="10" applyNumberFormat="1" applyFont="1" applyBorder="1" applyAlignment="1">
      <alignment horizontal="center" vertical="center" shrinkToFit="1"/>
    </xf>
    <xf numFmtId="176" fontId="10" fillId="0" borderId="72" xfId="10" applyNumberFormat="1" applyFont="1" applyBorder="1" applyAlignment="1">
      <alignment horizontal="center" vertical="center" shrinkToFit="1"/>
    </xf>
    <xf numFmtId="0" fontId="6" fillId="0" borderId="77" xfId="10" applyFont="1" applyBorder="1" applyAlignment="1">
      <alignment horizontal="center" vertical="center" wrapText="1"/>
    </xf>
    <xf numFmtId="0" fontId="6" fillId="0" borderId="78" xfId="10" applyFont="1" applyBorder="1" applyAlignment="1">
      <alignment horizontal="center" vertical="center" wrapText="1"/>
    </xf>
    <xf numFmtId="0" fontId="6" fillId="0" borderId="50" xfId="12" applyFont="1" applyBorder="1" applyAlignment="1">
      <alignment horizontal="center" vertical="center"/>
    </xf>
    <xf numFmtId="0" fontId="6" fillId="0" borderId="43" xfId="12" applyFont="1" applyBorder="1" applyAlignment="1">
      <alignment horizontal="center" vertical="center"/>
    </xf>
    <xf numFmtId="0" fontId="6" fillId="0" borderId="51" xfId="12" applyFont="1" applyBorder="1" applyAlignment="1">
      <alignment horizontal="center" vertical="center"/>
    </xf>
    <xf numFmtId="0" fontId="6" fillId="2" borderId="124" xfId="12" applyFont="1" applyFill="1" applyBorder="1" applyAlignment="1">
      <alignment horizontal="distributed" vertical="center" wrapText="1" indent="1"/>
    </xf>
    <xf numFmtId="0" fontId="6" fillId="2" borderId="115" xfId="12" applyFont="1" applyFill="1" applyBorder="1" applyAlignment="1">
      <alignment horizontal="distributed" vertical="center" wrapText="1" indent="1"/>
    </xf>
    <xf numFmtId="0" fontId="6" fillId="2" borderId="26" xfId="12" applyFont="1" applyFill="1" applyBorder="1" applyAlignment="1">
      <alignment horizontal="distributed" vertical="center" wrapText="1" indent="1"/>
    </xf>
    <xf numFmtId="180" fontId="6" fillId="2" borderId="12" xfId="12" applyNumberFormat="1" applyFont="1" applyFill="1" applyBorder="1" applyAlignment="1">
      <alignment horizontal="center" vertical="center"/>
    </xf>
    <xf numFmtId="0" fontId="6" fillId="13" borderId="2"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protection locked="0"/>
    </xf>
    <xf numFmtId="0" fontId="6" fillId="13" borderId="125" xfId="10" applyFont="1" applyFill="1" applyBorder="1" applyAlignment="1" applyProtection="1">
      <alignment horizontal="left" vertical="top"/>
      <protection locked="0"/>
    </xf>
    <xf numFmtId="0" fontId="6" fillId="13" borderId="95" xfId="10" applyFont="1" applyFill="1" applyBorder="1" applyAlignment="1" applyProtection="1">
      <alignment horizontal="left" vertical="top"/>
      <protection locked="0"/>
    </xf>
    <xf numFmtId="0" fontId="6" fillId="13" borderId="43" xfId="10" applyFont="1" applyFill="1" applyBorder="1" applyAlignment="1" applyProtection="1">
      <alignment horizontal="left" vertical="top"/>
      <protection locked="0"/>
    </xf>
    <xf numFmtId="0" fontId="6" fillId="13" borderId="83" xfId="10" applyFont="1" applyFill="1" applyBorder="1" applyAlignment="1" applyProtection="1">
      <alignment horizontal="left" vertical="top"/>
      <protection locked="0"/>
    </xf>
    <xf numFmtId="0" fontId="6" fillId="2" borderId="40" xfId="12" applyFont="1" applyFill="1" applyBorder="1" applyAlignment="1">
      <alignment horizontal="distributed" vertical="center" wrapText="1" indent="1"/>
    </xf>
    <xf numFmtId="0" fontId="6" fillId="2" borderId="13" xfId="12" applyFont="1" applyFill="1" applyBorder="1" applyAlignment="1">
      <alignment horizontal="distributed" vertical="center" wrapText="1" indent="1"/>
    </xf>
    <xf numFmtId="0" fontId="6" fillId="2" borderId="16" xfId="12" applyFont="1" applyFill="1" applyBorder="1" applyAlignment="1">
      <alignment horizontal="distributed" vertical="center" wrapText="1" indent="1"/>
    </xf>
    <xf numFmtId="0" fontId="6" fillId="13" borderId="54" xfId="10" applyFont="1" applyFill="1" applyBorder="1" applyAlignment="1" applyProtection="1">
      <alignment horizontal="distributed" vertical="top" wrapText="1" justifyLastLine="1"/>
      <protection locked="0"/>
    </xf>
    <xf numFmtId="0" fontId="6" fillId="13" borderId="3" xfId="10" applyFont="1" applyFill="1" applyBorder="1" applyAlignment="1" applyProtection="1">
      <alignment horizontal="distributed" vertical="top" justifyLastLine="1"/>
      <protection locked="0"/>
    </xf>
    <xf numFmtId="0" fontId="6" fillId="13" borderId="4" xfId="10" applyFont="1" applyFill="1" applyBorder="1" applyAlignment="1" applyProtection="1">
      <alignment horizontal="distributed" vertical="top" justifyLastLine="1"/>
      <protection locked="0"/>
    </xf>
    <xf numFmtId="0" fontId="6" fillId="13" borderId="50" xfId="10" applyFont="1" applyFill="1" applyBorder="1" applyAlignment="1" applyProtection="1">
      <alignment horizontal="distributed" vertical="top" justifyLastLine="1"/>
      <protection locked="0"/>
    </xf>
    <xf numFmtId="0" fontId="6" fillId="13" borderId="43" xfId="10" applyFont="1" applyFill="1" applyBorder="1" applyAlignment="1" applyProtection="1">
      <alignment horizontal="distributed" vertical="top" justifyLastLine="1"/>
      <protection locked="0"/>
    </xf>
    <xf numFmtId="0" fontId="6" fillId="13" borderId="51" xfId="10" applyFont="1" applyFill="1" applyBorder="1" applyAlignment="1" applyProtection="1">
      <alignment horizontal="distributed" vertical="top" justifyLastLine="1"/>
      <protection locked="0"/>
    </xf>
    <xf numFmtId="0" fontId="6" fillId="0" borderId="74" xfId="10" applyFont="1" applyBorder="1" applyAlignment="1">
      <alignment horizontal="distributed" vertical="center"/>
    </xf>
    <xf numFmtId="0" fontId="6" fillId="13" borderId="47" xfId="10" applyFont="1" applyFill="1" applyBorder="1" applyAlignment="1" applyProtection="1">
      <alignment vertical="center"/>
      <protection locked="0"/>
    </xf>
    <xf numFmtId="0" fontId="6" fillId="13" borderId="74" xfId="10" applyFont="1" applyFill="1" applyBorder="1" applyAlignment="1" applyProtection="1">
      <alignment vertical="center"/>
      <protection locked="0"/>
    </xf>
    <xf numFmtId="0" fontId="6" fillId="13" borderId="79" xfId="10" applyFont="1" applyFill="1" applyBorder="1" applyAlignment="1" applyProtection="1">
      <alignment vertical="center"/>
      <protection locked="0"/>
    </xf>
    <xf numFmtId="0" fontId="6" fillId="13" borderId="15" xfId="10" applyFont="1" applyFill="1" applyBorder="1" applyAlignment="1" applyProtection="1">
      <alignment vertical="center"/>
      <protection locked="0"/>
    </xf>
    <xf numFmtId="0" fontId="6" fillId="13" borderId="13" xfId="10" applyFont="1" applyFill="1" applyBorder="1" applyAlignment="1" applyProtection="1">
      <alignment vertical="center"/>
      <protection locked="0"/>
    </xf>
    <xf numFmtId="0" fontId="6" fillId="13" borderId="73" xfId="10" applyFont="1" applyFill="1" applyBorder="1" applyAlignment="1" applyProtection="1">
      <alignment vertical="center"/>
      <protection locked="0"/>
    </xf>
    <xf numFmtId="0" fontId="6" fillId="0" borderId="43" xfId="10" applyFont="1" applyBorder="1" applyAlignment="1">
      <alignment horizontal="center" vertical="center" textRotation="255"/>
    </xf>
    <xf numFmtId="0" fontId="6" fillId="0" borderId="13" xfId="10" applyFont="1" applyBorder="1" applyAlignment="1">
      <alignment horizontal="distributed" vertical="center" wrapText="1"/>
    </xf>
    <xf numFmtId="0" fontId="6" fillId="13" borderId="38" xfId="10" applyFont="1" applyFill="1" applyBorder="1" applyAlignment="1" applyProtection="1">
      <alignment vertical="center"/>
      <protection locked="0"/>
    </xf>
    <xf numFmtId="0" fontId="6" fillId="13" borderId="39" xfId="10" applyFont="1" applyFill="1" applyBorder="1" applyAlignment="1" applyProtection="1">
      <alignment vertical="center"/>
      <protection locked="0"/>
    </xf>
    <xf numFmtId="0" fontId="6" fillId="13" borderId="72" xfId="10" applyFont="1" applyFill="1" applyBorder="1" applyAlignment="1" applyProtection="1">
      <alignment vertical="center"/>
      <protection locked="0"/>
    </xf>
    <xf numFmtId="180" fontId="9" fillId="0" borderId="74" xfId="10" applyNumberFormat="1" applyFont="1" applyBorder="1" applyAlignment="1">
      <alignment horizontal="distributed" vertical="center"/>
    </xf>
    <xf numFmtId="176" fontId="10" fillId="0" borderId="74" xfId="10" applyNumberFormat="1" applyFont="1" applyBorder="1" applyAlignment="1">
      <alignment horizontal="center" vertical="center"/>
    </xf>
    <xf numFmtId="176" fontId="10" fillId="0" borderId="79" xfId="10" applyNumberFormat="1" applyFont="1" applyBorder="1" applyAlignment="1">
      <alignment horizontal="center" vertical="center"/>
    </xf>
    <xf numFmtId="0" fontId="13" fillId="0" borderId="15" xfId="12" applyFont="1" applyBorder="1" applyAlignment="1">
      <alignment horizontal="distributed" vertical="center"/>
    </xf>
    <xf numFmtId="0" fontId="13" fillId="0" borderId="13" xfId="12" applyFont="1" applyBorder="1" applyAlignment="1">
      <alignment horizontal="distributed" vertical="center"/>
    </xf>
    <xf numFmtId="0" fontId="13" fillId="0" borderId="16" xfId="12" applyFont="1" applyBorder="1" applyAlignment="1">
      <alignment horizontal="distributed" vertical="center"/>
    </xf>
    <xf numFmtId="0" fontId="6" fillId="15" borderId="3" xfId="12" applyFont="1" applyFill="1" applyBorder="1" applyAlignment="1">
      <alignment horizontal="distributed" vertical="center" wrapText="1"/>
    </xf>
    <xf numFmtId="0" fontId="6" fillId="15" borderId="0" xfId="12" applyFont="1" applyFill="1" applyAlignment="1">
      <alignment horizontal="distributed" vertical="center" wrapText="1"/>
    </xf>
    <xf numFmtId="0" fontId="6" fillId="15" borderId="4" xfId="12" applyFont="1" applyFill="1" applyBorder="1" applyAlignment="1">
      <alignment horizontal="center" vertical="center" wrapText="1"/>
    </xf>
    <xf numFmtId="0" fontId="6" fillId="15" borderId="1" xfId="12" applyFont="1" applyFill="1" applyBorder="1" applyAlignment="1">
      <alignment horizontal="center" vertical="center" wrapText="1"/>
    </xf>
    <xf numFmtId="0" fontId="6" fillId="15" borderId="13" xfId="12" applyFont="1" applyFill="1" applyBorder="1" applyAlignment="1">
      <alignment horizontal="distributed" vertical="center"/>
    </xf>
    <xf numFmtId="0" fontId="92" fillId="0" borderId="13" xfId="12" applyFont="1" applyBorder="1" applyAlignment="1">
      <alignment horizontal="distributed" vertical="center" justifyLastLine="1"/>
    </xf>
    <xf numFmtId="0" fontId="92" fillId="0" borderId="13" xfId="12" applyFont="1" applyBorder="1" applyAlignment="1">
      <alignment horizontal="distributed" vertical="center" wrapText="1" justifyLastLine="1"/>
    </xf>
    <xf numFmtId="0" fontId="9" fillId="0" borderId="103" xfId="12" applyFont="1" applyBorder="1" applyAlignment="1">
      <alignment horizontal="distributed" vertical="center" wrapText="1"/>
    </xf>
    <xf numFmtId="185" fontId="6" fillId="0" borderId="107" xfId="12" applyNumberFormat="1" applyFont="1" applyBorder="1" applyAlignment="1">
      <alignment horizontal="right" vertical="center"/>
    </xf>
    <xf numFmtId="0" fontId="6" fillId="0" borderId="3" xfId="12" applyFont="1" applyBorder="1" applyAlignment="1">
      <alignment horizontal="center" vertical="center" textRotation="255"/>
    </xf>
    <xf numFmtId="0" fontId="6" fillId="0" borderId="0" xfId="12" applyFont="1" applyAlignment="1">
      <alignment horizontal="center" vertical="center" textRotation="255"/>
    </xf>
    <xf numFmtId="0" fontId="75" fillId="0" borderId="0" xfId="0" applyFont="1" applyAlignment="1">
      <alignment horizontal="left" vertical="center"/>
    </xf>
    <xf numFmtId="0" fontId="27" fillId="8" borderId="12" xfId="0" applyFont="1" applyFill="1" applyBorder="1" applyAlignment="1">
      <alignment horizontal="left" vertical="center"/>
    </xf>
    <xf numFmtId="0" fontId="27" fillId="0" borderId="13" xfId="0" applyFont="1" applyBorder="1" applyAlignment="1">
      <alignment horizontal="right" vertical="center"/>
    </xf>
    <xf numFmtId="191" fontId="71" fillId="7" borderId="56" xfId="0" applyNumberFormat="1" applyFont="1" applyFill="1" applyBorder="1" applyAlignment="1">
      <alignment horizontal="right" vertical="center"/>
    </xf>
    <xf numFmtId="191" fontId="71" fillId="7" borderId="117" xfId="0" applyNumberFormat="1" applyFont="1" applyFill="1" applyBorder="1" applyAlignment="1">
      <alignment horizontal="right" vertical="center"/>
    </xf>
    <xf numFmtId="191" fontId="71" fillId="7" borderId="181" xfId="0" applyNumberFormat="1" applyFont="1" applyFill="1" applyBorder="1" applyAlignment="1">
      <alignment horizontal="right" vertical="center"/>
    </xf>
    <xf numFmtId="191" fontId="71" fillId="7" borderId="0" xfId="0" applyNumberFormat="1" applyFont="1" applyFill="1" applyAlignment="1">
      <alignment horizontal="right" vertical="center"/>
    </xf>
    <xf numFmtId="191" fontId="71" fillId="7" borderId="182" xfId="0" applyNumberFormat="1" applyFont="1" applyFill="1" applyBorder="1" applyAlignment="1">
      <alignment horizontal="right" vertical="center"/>
    </xf>
    <xf numFmtId="191" fontId="71" fillId="7" borderId="114" xfId="0" applyNumberFormat="1" applyFont="1" applyFill="1" applyBorder="1" applyAlignment="1">
      <alignment horizontal="right" vertical="center"/>
    </xf>
    <xf numFmtId="0" fontId="27" fillId="0" borderId="16" xfId="0" applyFont="1" applyBorder="1" applyAlignment="1">
      <alignment horizontal="left" vertical="center"/>
    </xf>
    <xf numFmtId="0" fontId="27" fillId="0" borderId="12" xfId="0" applyFont="1" applyBorder="1" applyAlignment="1">
      <alignment horizontal="left" vertical="center"/>
    </xf>
    <xf numFmtId="0" fontId="68" fillId="0" borderId="0" xfId="0" applyFont="1" applyAlignment="1">
      <alignment horizontal="center" vertical="center"/>
    </xf>
    <xf numFmtId="0" fontId="68" fillId="0" borderId="184" xfId="0" applyFont="1" applyBorder="1" applyAlignment="1">
      <alignment horizontal="center" vertical="center"/>
    </xf>
    <xf numFmtId="0" fontId="26" fillId="7" borderId="183" xfId="0" quotePrefix="1" applyFont="1" applyFill="1" applyBorder="1" applyAlignment="1">
      <alignment horizontal="right"/>
    </xf>
    <xf numFmtId="0" fontId="26" fillId="0" borderId="184" xfId="0" applyFont="1" applyBorder="1" applyAlignment="1">
      <alignment horizontal="right" vertical="center"/>
    </xf>
    <xf numFmtId="0" fontId="26" fillId="0" borderId="185" xfId="0" applyFont="1" applyBorder="1" applyAlignment="1">
      <alignment horizontal="right" vertical="center"/>
    </xf>
    <xf numFmtId="0" fontId="29" fillId="0" borderId="135" xfId="0" applyFont="1" applyBorder="1" applyAlignment="1">
      <alignment horizontal="left" vertical="center" wrapText="1"/>
    </xf>
    <xf numFmtId="0" fontId="29" fillId="0" borderId="136" xfId="0" applyFont="1" applyBorder="1" applyAlignment="1">
      <alignment horizontal="left" vertical="center" wrapText="1"/>
    </xf>
    <xf numFmtId="0" fontId="29" fillId="0" borderId="138" xfId="0" applyFont="1" applyBorder="1" applyAlignment="1">
      <alignment horizontal="left" vertical="center" wrapText="1"/>
    </xf>
    <xf numFmtId="0" fontId="29" fillId="0" borderId="0" xfId="0" applyFont="1" applyAlignment="1">
      <alignment horizontal="left" vertical="center" wrapText="1"/>
    </xf>
    <xf numFmtId="0" fontId="29" fillId="0" borderId="139" xfId="0" applyFont="1" applyBorder="1" applyAlignment="1">
      <alignment horizontal="left" vertical="center" wrapText="1"/>
    </xf>
    <xf numFmtId="0" fontId="29" fillId="0" borderId="140" xfId="0" applyFont="1" applyBorder="1" applyAlignment="1">
      <alignment horizontal="left" vertical="center" wrapText="1"/>
    </xf>
    <xf numFmtId="0" fontId="27" fillId="0" borderId="16" xfId="0" applyFont="1" applyBorder="1" applyAlignment="1">
      <alignment horizontal="center" vertical="center"/>
    </xf>
    <xf numFmtId="0" fontId="27" fillId="0" borderId="12" xfId="0" applyFont="1" applyBorder="1" applyAlignment="1">
      <alignment horizontal="center" vertical="center"/>
    </xf>
    <xf numFmtId="0" fontId="29" fillId="4" borderId="155" xfId="0" applyFont="1" applyFill="1" applyBorder="1" applyAlignment="1">
      <alignment horizontal="center" vertical="center" wrapText="1"/>
    </xf>
    <xf numFmtId="0" fontId="29" fillId="4" borderId="166" xfId="0" applyFont="1" applyFill="1" applyBorder="1" applyAlignment="1">
      <alignment horizontal="center" vertical="center" wrapText="1"/>
    </xf>
    <xf numFmtId="0" fontId="4" fillId="0" borderId="166" xfId="0" applyFont="1" applyBorder="1" applyAlignment="1">
      <alignment vertical="center" wrapText="1"/>
    </xf>
    <xf numFmtId="0" fontId="27" fillId="4" borderId="2"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14" xfId="0" applyFont="1" applyFill="1" applyBorder="1" applyAlignment="1">
      <alignment horizontal="center" vertical="center"/>
    </xf>
    <xf numFmtId="0" fontId="27" fillId="4" borderId="172" xfId="0" applyFont="1" applyFill="1" applyBorder="1" applyAlignment="1">
      <alignment horizontal="center" vertical="center"/>
    </xf>
    <xf numFmtId="0" fontId="27" fillId="4" borderId="173" xfId="0" applyFont="1" applyFill="1" applyBorder="1" applyAlignment="1">
      <alignment horizontal="center" vertical="center"/>
    </xf>
    <xf numFmtId="0" fontId="27" fillId="4" borderId="167"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167"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29" fillId="0" borderId="157" xfId="0" applyFont="1" applyBorder="1" applyAlignment="1">
      <alignment horizontal="center" vertical="center"/>
    </xf>
    <xf numFmtId="0" fontId="29" fillId="0" borderId="61" xfId="0" applyFont="1" applyBorder="1" applyAlignment="1">
      <alignment horizontal="center" vertical="center"/>
    </xf>
    <xf numFmtId="0" fontId="29" fillId="0" borderId="128" xfId="0" applyFont="1" applyBorder="1" applyAlignment="1">
      <alignment horizontal="center" vertical="center"/>
    </xf>
    <xf numFmtId="0" fontId="30" fillId="6" borderId="128" xfId="0" applyFont="1" applyFill="1" applyBorder="1" applyAlignment="1">
      <alignment horizontal="center" vertical="center"/>
    </xf>
    <xf numFmtId="0" fontId="30" fillId="6" borderId="61" xfId="0" applyFont="1" applyFill="1" applyBorder="1" applyAlignment="1">
      <alignment horizontal="center" vertical="center"/>
    </xf>
    <xf numFmtId="0" fontId="29" fillId="6" borderId="155" xfId="0" applyFont="1" applyFill="1" applyBorder="1" applyAlignment="1">
      <alignment horizontal="center" vertical="center"/>
    </xf>
    <xf numFmtId="0" fontId="29" fillId="6" borderId="65" xfId="0" applyFont="1" applyFill="1" applyBorder="1" applyAlignment="1">
      <alignment horizontal="center" vertical="center"/>
    </xf>
    <xf numFmtId="0" fontId="29" fillId="6" borderId="128" xfId="0" applyFont="1" applyFill="1" applyBorder="1" applyAlignment="1">
      <alignment horizontal="center" vertical="center"/>
    </xf>
    <xf numFmtId="188" fontId="29" fillId="0" borderId="128" xfId="0" applyNumberFormat="1" applyFont="1" applyBorder="1" applyAlignment="1">
      <alignment horizontal="right" vertical="center"/>
    </xf>
    <xf numFmtId="188" fontId="29" fillId="0" borderId="61" xfId="0" applyNumberFormat="1" applyFont="1" applyBorder="1" applyAlignment="1">
      <alignment horizontal="right" vertical="center"/>
    </xf>
    <xf numFmtId="0" fontId="29" fillId="4" borderId="150" xfId="0" applyFont="1" applyFill="1" applyBorder="1" applyAlignment="1">
      <alignment horizontal="center" vertical="center"/>
    </xf>
    <xf numFmtId="0" fontId="29" fillId="4" borderId="157" xfId="0" applyFont="1" applyFill="1" applyBorder="1" applyAlignment="1">
      <alignment horizontal="center" vertical="center"/>
    </xf>
    <xf numFmtId="0" fontId="29" fillId="4" borderId="180" xfId="0" applyFont="1" applyFill="1" applyBorder="1" applyAlignment="1">
      <alignment horizontal="center" vertical="center"/>
    </xf>
    <xf numFmtId="0" fontId="29" fillId="4" borderId="70" xfId="0" applyFont="1" applyFill="1" applyBorder="1" applyAlignment="1">
      <alignment horizontal="center" vertical="center"/>
    </xf>
    <xf numFmtId="0" fontId="29" fillId="4" borderId="61" xfId="0" applyFont="1" applyFill="1" applyBorder="1" applyAlignment="1">
      <alignment horizontal="center" vertical="center"/>
    </xf>
    <xf numFmtId="0" fontId="29" fillId="4" borderId="71" xfId="0" applyFont="1" applyFill="1" applyBorder="1" applyAlignment="1">
      <alignment horizontal="center" vertical="center"/>
    </xf>
    <xf numFmtId="0" fontId="27" fillId="0" borderId="174" xfId="0" applyFont="1" applyBorder="1" applyAlignment="1">
      <alignment horizontal="center" vertical="center"/>
    </xf>
    <xf numFmtId="0" fontId="27" fillId="0" borderId="132"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7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14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69" xfId="0" applyFont="1" applyBorder="1" applyAlignment="1">
      <alignment horizontal="center" vertical="center" wrapText="1"/>
    </xf>
    <xf numFmtId="0" fontId="27" fillId="0" borderId="186" xfId="0" applyFont="1" applyBorder="1" applyAlignment="1">
      <alignment horizontal="center" vertical="center" wrapText="1"/>
    </xf>
    <xf numFmtId="0" fontId="27" fillId="0" borderId="168" xfId="0" applyFont="1" applyBorder="1" applyAlignment="1">
      <alignment horizontal="center" vertical="center" wrapText="1"/>
    </xf>
    <xf numFmtId="0" fontId="27" fillId="0" borderId="154" xfId="0" applyFont="1" applyBorder="1" applyAlignment="1">
      <alignment horizontal="center" vertical="center" wrapText="1"/>
    </xf>
    <xf numFmtId="0" fontId="27" fillId="0" borderId="177" xfId="0" applyFont="1" applyBorder="1" applyAlignment="1">
      <alignment horizontal="center" vertical="center" wrapText="1"/>
    </xf>
    <xf numFmtId="0" fontId="27" fillId="0" borderId="178" xfId="0" applyFont="1" applyBorder="1" applyAlignment="1">
      <alignment horizontal="center" vertical="center" wrapText="1"/>
    </xf>
    <xf numFmtId="0" fontId="27" fillId="0" borderId="150" xfId="0" applyFont="1" applyBorder="1" applyAlignment="1">
      <alignment horizontal="left" vertical="center" wrapText="1"/>
    </xf>
    <xf numFmtId="0" fontId="27" fillId="0" borderId="157" xfId="0" applyFont="1" applyBorder="1" applyAlignment="1">
      <alignment horizontal="left" vertical="center" wrapText="1"/>
    </xf>
    <xf numFmtId="0" fontId="27" fillId="0" borderId="169" xfId="0" applyFont="1" applyBorder="1" applyAlignment="1">
      <alignment horizontal="left" vertical="center" wrapText="1"/>
    </xf>
    <xf numFmtId="0" fontId="27" fillId="0" borderId="70" xfId="0" applyFont="1" applyBorder="1" applyAlignment="1">
      <alignment horizontal="left" vertical="center" wrapText="1"/>
    </xf>
    <xf numFmtId="0" fontId="27" fillId="0" borderId="61" xfId="0" applyFont="1" applyBorder="1" applyAlignment="1">
      <alignment horizontal="left" vertical="center" wrapText="1"/>
    </xf>
    <xf numFmtId="0" fontId="27" fillId="0" borderId="154" xfId="0" applyFont="1" applyBorder="1" applyAlignment="1">
      <alignment horizontal="left" vertical="center" wrapText="1"/>
    </xf>
    <xf numFmtId="0" fontId="27" fillId="0" borderId="180" xfId="0" applyFont="1" applyBorder="1" applyAlignment="1">
      <alignment horizontal="left" vertical="center" wrapText="1"/>
    </xf>
    <xf numFmtId="0" fontId="27" fillId="0" borderId="71" xfId="0" applyFont="1" applyBorder="1" applyAlignment="1">
      <alignment horizontal="left" vertical="center" wrapText="1"/>
    </xf>
    <xf numFmtId="0" fontId="27" fillId="3" borderId="170" xfId="0" applyFont="1" applyFill="1" applyBorder="1" applyAlignment="1" applyProtection="1">
      <alignment horizontal="center" vertical="center"/>
      <protection locked="0"/>
    </xf>
    <xf numFmtId="0" fontId="27" fillId="3" borderId="192" xfId="0" applyFont="1" applyFill="1" applyBorder="1" applyAlignment="1" applyProtection="1">
      <alignment horizontal="center" vertical="center"/>
      <protection locked="0"/>
    </xf>
    <xf numFmtId="0" fontId="27" fillId="4" borderId="174" xfId="0" applyFont="1" applyFill="1" applyBorder="1" applyAlignment="1" applyProtection="1">
      <alignment horizontal="center" vertical="center" wrapText="1"/>
      <protection locked="0"/>
    </xf>
    <xf numFmtId="0" fontId="27" fillId="4" borderId="132" xfId="0" applyFont="1" applyFill="1" applyBorder="1" applyAlignment="1" applyProtection="1">
      <alignment horizontal="center" vertical="center" wrapText="1"/>
      <protection locked="0"/>
    </xf>
    <xf numFmtId="0" fontId="26" fillId="3" borderId="168" xfId="0" applyFont="1" applyFill="1" applyBorder="1" applyAlignment="1" applyProtection="1">
      <alignment horizontal="left" vertical="center" wrapText="1"/>
      <protection locked="0"/>
    </xf>
    <xf numFmtId="0" fontId="26" fillId="3" borderId="178" xfId="0" applyFont="1" applyFill="1" applyBorder="1" applyAlignment="1" applyProtection="1">
      <alignment horizontal="left" vertical="center" wrapText="1"/>
      <protection locked="0"/>
    </xf>
    <xf numFmtId="0" fontId="30" fillId="0" borderId="150" xfId="0" applyFont="1" applyBorder="1" applyAlignment="1">
      <alignment horizontal="center" vertical="center"/>
    </xf>
    <xf numFmtId="0" fontId="30" fillId="0" borderId="70" xfId="0" applyFont="1" applyBorder="1" applyAlignment="1">
      <alignment horizontal="center" vertical="center"/>
    </xf>
    <xf numFmtId="0" fontId="30" fillId="4" borderId="155" xfId="0" applyFont="1" applyFill="1" applyBorder="1" applyAlignment="1">
      <alignment horizontal="center" vertical="center" wrapText="1"/>
    </xf>
    <xf numFmtId="0" fontId="30" fillId="4" borderId="166" xfId="0" applyFont="1" applyFill="1" applyBorder="1" applyAlignment="1">
      <alignment horizontal="center" vertical="center" wrapText="1"/>
    </xf>
    <xf numFmtId="0" fontId="29" fillId="4" borderId="159" xfId="0" applyFont="1" applyFill="1" applyBorder="1" applyAlignment="1">
      <alignment horizontal="center" vertical="center"/>
    </xf>
    <xf numFmtId="0" fontId="29" fillId="4" borderId="165" xfId="0" applyFont="1" applyFill="1" applyBorder="1" applyAlignment="1">
      <alignment horizontal="center" vertical="center"/>
    </xf>
    <xf numFmtId="0" fontId="29" fillId="4" borderId="130" xfId="0" applyFont="1" applyFill="1" applyBorder="1" applyAlignment="1">
      <alignment horizontal="center" vertical="center"/>
    </xf>
    <xf numFmtId="0" fontId="29" fillId="4" borderId="15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14" xfId="0" applyFont="1" applyFill="1" applyBorder="1" applyAlignment="1">
      <alignment horizontal="center" vertical="center"/>
    </xf>
    <xf numFmtId="0" fontId="29" fillId="4" borderId="18" xfId="0" applyFont="1" applyFill="1" applyBorder="1" applyAlignment="1">
      <alignment horizontal="center" vertical="center"/>
    </xf>
    <xf numFmtId="0" fontId="28" fillId="4" borderId="167"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9" fillId="0" borderId="152" xfId="0" applyFont="1" applyBorder="1" applyAlignment="1">
      <alignment horizontal="center" vertical="center"/>
    </xf>
    <xf numFmtId="0" fontId="29" fillId="0" borderId="138" xfId="0" applyFont="1" applyBorder="1" applyAlignment="1">
      <alignment horizontal="center" vertical="center"/>
    </xf>
    <xf numFmtId="0" fontId="29" fillId="0" borderId="159" xfId="0" applyFont="1" applyBorder="1" applyAlignment="1">
      <alignment horizontal="center" vertical="center"/>
    </xf>
    <xf numFmtId="0" fontId="29" fillId="0" borderId="66"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188" fontId="29" fillId="0" borderId="139" xfId="0" applyNumberFormat="1" applyFont="1" applyBorder="1" applyAlignment="1">
      <alignment horizontal="right" vertical="center"/>
    </xf>
    <xf numFmtId="0" fontId="29" fillId="0" borderId="154" xfId="0" applyFont="1" applyBorder="1" applyAlignment="1">
      <alignment horizontal="right" vertical="center"/>
    </xf>
    <xf numFmtId="188" fontId="29" fillId="0" borderId="126" xfId="0" applyNumberFormat="1" applyFont="1" applyBorder="1" applyAlignment="1">
      <alignment horizontal="right" vertical="center"/>
    </xf>
    <xf numFmtId="188" fontId="29" fillId="0" borderId="70" xfId="0" applyNumberFormat="1" applyFont="1" applyBorder="1" applyAlignment="1">
      <alignment horizontal="right" vertical="center"/>
    </xf>
    <xf numFmtId="188" fontId="29" fillId="0" borderId="160" xfId="0" applyNumberFormat="1" applyFont="1" applyBorder="1" applyAlignment="1">
      <alignment horizontal="right" vertical="center"/>
    </xf>
    <xf numFmtId="0" fontId="29" fillId="0" borderId="71" xfId="0" applyFont="1" applyBorder="1" applyAlignment="1">
      <alignment horizontal="right"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6" borderId="127" xfId="0" applyFont="1" applyFill="1" applyBorder="1" applyAlignment="1">
      <alignment horizontal="center" vertical="center"/>
    </xf>
    <xf numFmtId="0" fontId="27" fillId="0" borderId="192" xfId="0" applyFont="1" applyBorder="1" applyAlignment="1">
      <alignment horizontal="left" vertical="center" wrapText="1"/>
    </xf>
    <xf numFmtId="0" fontId="27" fillId="0" borderId="177" xfId="0" applyFont="1" applyBorder="1" applyAlignment="1">
      <alignment horizontal="left" vertical="center" wrapText="1"/>
    </xf>
    <xf numFmtId="0" fontId="27" fillId="0" borderId="178" xfId="0" applyFont="1" applyBorder="1" applyAlignment="1">
      <alignment horizontal="left" vertical="center" wrapText="1"/>
    </xf>
    <xf numFmtId="0" fontId="28" fillId="0" borderId="154" xfId="0" applyFont="1" applyBorder="1" applyAlignment="1">
      <alignment horizontal="center" vertical="center" wrapText="1"/>
    </xf>
    <xf numFmtId="0" fontId="28" fillId="0" borderId="177" xfId="0" applyFont="1" applyBorder="1" applyAlignment="1">
      <alignment horizontal="center" vertical="center" wrapText="1"/>
    </xf>
    <xf numFmtId="0" fontId="28" fillId="0" borderId="178" xfId="0" applyFont="1" applyBorder="1" applyAlignment="1">
      <alignment horizontal="center" vertical="center" wrapText="1"/>
    </xf>
    <xf numFmtId="0" fontId="28" fillId="0" borderId="192" xfId="0" applyFont="1" applyBorder="1" applyAlignment="1">
      <alignment vertical="center" wrapText="1"/>
    </xf>
    <xf numFmtId="0" fontId="28" fillId="0" borderId="177" xfId="0" applyFont="1" applyBorder="1" applyAlignment="1">
      <alignment vertical="center" wrapText="1"/>
    </xf>
    <xf numFmtId="0" fontId="28" fillId="0" borderId="190" xfId="0" applyFont="1" applyBorder="1" applyAlignment="1">
      <alignment vertical="center" wrapText="1"/>
    </xf>
    <xf numFmtId="0" fontId="28" fillId="0" borderId="178" xfId="0" applyFont="1" applyBorder="1" applyAlignment="1">
      <alignment vertical="center" wrapText="1"/>
    </xf>
    <xf numFmtId="0" fontId="30" fillId="12" borderId="70" xfId="0" applyFont="1" applyFill="1" applyBorder="1" applyAlignment="1">
      <alignment horizontal="center" vertical="center"/>
    </xf>
    <xf numFmtId="0" fontId="29" fillId="0" borderId="135" xfId="0" applyFont="1" applyBorder="1" applyAlignment="1">
      <alignment horizontal="center" vertical="center"/>
    </xf>
    <xf numFmtId="0" fontId="29" fillId="0" borderId="139" xfId="0" applyFont="1" applyBorder="1" applyAlignment="1">
      <alignment horizontal="center" vertical="center"/>
    </xf>
    <xf numFmtId="0" fontId="29" fillId="0" borderId="161" xfId="0" applyFont="1" applyBorder="1" applyAlignment="1">
      <alignment horizontal="center" vertical="center"/>
    </xf>
    <xf numFmtId="0" fontId="29" fillId="0" borderId="160" xfId="0" applyFont="1" applyBorder="1" applyAlignment="1">
      <alignment horizontal="center" vertical="center"/>
    </xf>
    <xf numFmtId="188" fontId="29" fillId="0" borderId="154" xfId="0" applyNumberFormat="1" applyFont="1" applyBorder="1" applyAlignment="1">
      <alignment horizontal="right" vertical="center"/>
    </xf>
    <xf numFmtId="188" fontId="29" fillId="0" borderId="147" xfId="0" applyNumberFormat="1" applyFont="1" applyBorder="1" applyAlignment="1">
      <alignment horizontal="right" vertical="center"/>
    </xf>
    <xf numFmtId="188" fontId="29" fillId="0" borderId="64" xfId="0" applyNumberFormat="1" applyFont="1" applyBorder="1" applyAlignment="1">
      <alignment horizontal="right" vertical="center"/>
    </xf>
    <xf numFmtId="188" fontId="29" fillId="0" borderId="71" xfId="0" applyNumberFormat="1" applyFont="1" applyBorder="1" applyAlignment="1">
      <alignment horizontal="right" vertical="center"/>
    </xf>
    <xf numFmtId="0" fontId="29" fillId="5" borderId="131"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144" xfId="0" applyFont="1" applyFill="1" applyBorder="1" applyAlignment="1">
      <alignment horizontal="center" vertical="center"/>
    </xf>
    <xf numFmtId="0" fontId="28" fillId="0" borderId="70" xfId="0" applyFont="1" applyBorder="1" applyAlignment="1">
      <alignment horizontal="left" vertical="center" wrapText="1"/>
    </xf>
    <xf numFmtId="0" fontId="28" fillId="0" borderId="61" xfId="0" applyFont="1" applyBorder="1" applyAlignment="1">
      <alignment horizontal="left" vertical="center" wrapText="1"/>
    </xf>
    <xf numFmtId="0" fontId="28" fillId="0" borderId="71" xfId="0" applyFont="1" applyBorder="1" applyAlignment="1">
      <alignment horizontal="left" vertical="center" wrapText="1"/>
    </xf>
    <xf numFmtId="0" fontId="29" fillId="0" borderId="131" xfId="0" applyFont="1" applyBorder="1" applyAlignment="1">
      <alignment horizontal="center" vertical="center"/>
    </xf>
    <xf numFmtId="0" fontId="29" fillId="0" borderId="144" xfId="0" applyFont="1" applyBorder="1" applyAlignment="1">
      <alignment horizontal="center" vertical="center"/>
    </xf>
    <xf numFmtId="0" fontId="29" fillId="0" borderId="127" xfId="0" applyFont="1" applyBorder="1" applyAlignment="1">
      <alignment horizontal="center" vertical="center"/>
    </xf>
    <xf numFmtId="0" fontId="29" fillId="0" borderId="65" xfId="0" applyFont="1" applyBorder="1" applyAlignment="1">
      <alignment horizontal="center" vertical="center"/>
    </xf>
    <xf numFmtId="188" fontId="29" fillId="0" borderId="127" xfId="0" applyNumberFormat="1" applyFont="1" applyBorder="1" applyAlignment="1">
      <alignment horizontal="right" vertical="center"/>
    </xf>
    <xf numFmtId="188" fontId="29" fillId="0" borderId="65" xfId="0" applyNumberFormat="1" applyFont="1" applyBorder="1" applyAlignment="1">
      <alignment horizontal="right" vertical="center"/>
    </xf>
    <xf numFmtId="0" fontId="29" fillId="0" borderId="68" xfId="0" applyFont="1" applyBorder="1" applyAlignment="1">
      <alignment horizontal="center" vertical="center"/>
    </xf>
    <xf numFmtId="0" fontId="29" fillId="0" borderId="156" xfId="0" applyFont="1" applyBorder="1" applyAlignment="1">
      <alignment horizontal="center" vertical="center"/>
    </xf>
    <xf numFmtId="0" fontId="30" fillId="6" borderId="68" xfId="0" applyFont="1" applyFill="1" applyBorder="1" applyAlignment="1">
      <alignment horizontal="center" vertical="center"/>
    </xf>
    <xf numFmtId="0" fontId="30" fillId="6" borderId="156"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156" xfId="0" applyFont="1" applyFill="1" applyBorder="1" applyAlignment="1">
      <alignment horizontal="center" vertical="center"/>
    </xf>
    <xf numFmtId="0" fontId="30" fillId="0" borderId="67" xfId="0" applyFont="1" applyBorder="1" applyAlignment="1">
      <alignment horizontal="center" vertical="center"/>
    </xf>
    <xf numFmtId="0" fontId="30" fillId="0" borderId="149" xfId="0" applyFont="1" applyBorder="1" applyAlignment="1">
      <alignment horizontal="center" vertical="center"/>
    </xf>
    <xf numFmtId="0" fontId="27" fillId="0" borderId="171" xfId="0" applyFont="1" applyBorder="1" applyAlignment="1">
      <alignment horizontal="center" vertical="center"/>
    </xf>
    <xf numFmtId="0" fontId="28" fillId="0" borderId="158" xfId="0" applyFont="1" applyBorder="1" applyAlignment="1">
      <alignment horizontal="center" vertical="center" wrapText="1"/>
    </xf>
    <xf numFmtId="0" fontId="28" fillId="0" borderId="176" xfId="0" applyFont="1" applyBorder="1" applyAlignment="1">
      <alignment horizontal="center" vertical="center" wrapText="1"/>
    </xf>
    <xf numFmtId="0" fontId="28" fillId="0" borderId="146" xfId="0" applyFont="1" applyBorder="1" applyAlignment="1">
      <alignment horizontal="center" vertical="center" wrapText="1"/>
    </xf>
    <xf numFmtId="0" fontId="28" fillId="0" borderId="154"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58" xfId="0" applyFont="1" applyBorder="1" applyAlignment="1">
      <alignment horizontal="left" vertical="center" wrapText="1"/>
    </xf>
    <xf numFmtId="0" fontId="28" fillId="0" borderId="192" xfId="0" applyFont="1" applyBorder="1" applyAlignment="1">
      <alignment horizontal="left" vertical="center" wrapText="1"/>
    </xf>
    <xf numFmtId="0" fontId="28" fillId="0" borderId="177" xfId="0" applyFont="1" applyBorder="1" applyAlignment="1">
      <alignment horizontal="left" vertical="center" wrapText="1"/>
    </xf>
    <xf numFmtId="0" fontId="28" fillId="0" borderId="178" xfId="0" applyFont="1" applyBorder="1" applyAlignment="1">
      <alignment horizontal="left" vertical="center" wrapText="1"/>
    </xf>
    <xf numFmtId="0" fontId="28" fillId="0" borderId="163" xfId="0" applyFont="1" applyBorder="1" applyAlignment="1">
      <alignment horizontal="left" vertical="center" wrapText="1"/>
    </xf>
    <xf numFmtId="0" fontId="28" fillId="0" borderId="176" xfId="0" applyFont="1" applyBorder="1" applyAlignment="1">
      <alignment horizontal="left" vertical="center" wrapText="1"/>
    </xf>
    <xf numFmtId="0" fontId="28" fillId="0" borderId="146" xfId="0" applyFont="1" applyBorder="1" applyAlignment="1">
      <alignment horizontal="left" vertical="center" wrapText="1"/>
    </xf>
    <xf numFmtId="0" fontId="28" fillId="3" borderId="177" xfId="0" applyFont="1" applyFill="1" applyBorder="1" applyAlignment="1" applyProtection="1">
      <alignment horizontal="center" vertical="center"/>
      <protection locked="0"/>
    </xf>
    <xf numFmtId="0" fontId="28" fillId="3" borderId="176" xfId="0" applyFont="1" applyFill="1" applyBorder="1" applyAlignment="1" applyProtection="1">
      <alignment horizontal="center" vertical="center"/>
      <protection locked="0"/>
    </xf>
    <xf numFmtId="0" fontId="27" fillId="4" borderId="171" xfId="0" applyFont="1" applyFill="1" applyBorder="1" applyAlignment="1" applyProtection="1">
      <alignment horizontal="center" vertical="center" wrapText="1"/>
      <protection locked="0"/>
    </xf>
    <xf numFmtId="0" fontId="26" fillId="3" borderId="146" xfId="0" applyFont="1" applyFill="1" applyBorder="1" applyAlignment="1" applyProtection="1">
      <alignment horizontal="left" vertical="center" wrapText="1"/>
      <protection locked="0"/>
    </xf>
    <xf numFmtId="0" fontId="29" fillId="0" borderId="158" xfId="0" applyFont="1" applyBorder="1" applyAlignment="1">
      <alignment horizontal="center" vertical="center"/>
    </xf>
    <xf numFmtId="0" fontId="29" fillId="0" borderId="164" xfId="0" applyFont="1" applyBorder="1" applyAlignment="1">
      <alignment horizontal="center" vertical="center"/>
    </xf>
    <xf numFmtId="0" fontId="29" fillId="0" borderId="69" xfId="0" applyFont="1" applyBorder="1" applyAlignment="1">
      <alignment horizontal="center" vertical="center"/>
    </xf>
    <xf numFmtId="0" fontId="29" fillId="0" borderId="179" xfId="0" applyFont="1" applyBorder="1" applyAlignment="1">
      <alignment horizontal="center" vertical="center"/>
    </xf>
    <xf numFmtId="0" fontId="27" fillId="0" borderId="15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6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52" xfId="0" applyFont="1" applyBorder="1" applyAlignment="1">
      <alignment horizontal="center" vertical="center" wrapText="1"/>
    </xf>
    <xf numFmtId="0" fontId="27" fillId="0" borderId="4" xfId="0" applyFont="1" applyBorder="1" applyAlignment="1">
      <alignment horizontal="center"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172" xfId="0" applyFont="1" applyBorder="1" applyAlignment="1">
      <alignmen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43" xfId="0" applyFont="1" applyBorder="1" applyAlignment="1">
      <alignment vertical="center" wrapText="1"/>
    </xf>
    <xf numFmtId="0" fontId="28" fillId="0" borderId="1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6"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3" borderId="13" xfId="0" applyFont="1" applyFill="1" applyBorder="1" applyAlignment="1" applyProtection="1">
      <alignment horizontal="center" vertical="center"/>
      <protection locked="0"/>
    </xf>
    <xf numFmtId="0" fontId="28" fillId="3" borderId="186" xfId="0" applyFont="1" applyFill="1" applyBorder="1" applyAlignment="1" applyProtection="1">
      <alignment horizontal="center" vertical="center"/>
      <protection locked="0"/>
    </xf>
    <xf numFmtId="0" fontId="26" fillId="3" borderId="16" xfId="0" applyFont="1" applyFill="1" applyBorder="1" applyAlignment="1" applyProtection="1">
      <alignment horizontal="left" vertical="center" wrapText="1"/>
      <protection locked="0"/>
    </xf>
    <xf numFmtId="0" fontId="27" fillId="0" borderId="24" xfId="0" applyFont="1" applyBorder="1" applyAlignment="1">
      <alignment horizontal="center" vertical="center"/>
    </xf>
    <xf numFmtId="0" fontId="28" fillId="0" borderId="1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5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49" xfId="0" applyFont="1" applyBorder="1" applyAlignment="1">
      <alignment horizontal="left" vertical="center" wrapText="1"/>
    </xf>
    <xf numFmtId="0" fontId="28" fillId="0" borderId="156" xfId="0" applyFont="1" applyBorder="1" applyAlignment="1">
      <alignment horizontal="left" vertical="center" wrapText="1"/>
    </xf>
    <xf numFmtId="0" fontId="28" fillId="0" borderId="164" xfId="0" applyFont="1" applyBorder="1" applyAlignment="1">
      <alignment horizontal="left" vertical="center" wrapText="1"/>
    </xf>
    <xf numFmtId="0" fontId="28" fillId="0" borderId="130" xfId="0" applyFont="1" applyBorder="1" applyAlignment="1">
      <alignment horizontal="left" vertical="center" wrapText="1"/>
    </xf>
    <xf numFmtId="0" fontId="28" fillId="0" borderId="155" xfId="0" applyFont="1" applyBorder="1" applyAlignment="1">
      <alignment horizontal="left" vertical="center" wrapText="1"/>
    </xf>
    <xf numFmtId="0" fontId="28" fillId="0" borderId="152" xfId="0" applyFont="1" applyBorder="1" applyAlignment="1">
      <alignment horizontal="left" vertical="center" wrapText="1"/>
    </xf>
    <xf numFmtId="0" fontId="28" fillId="0" borderId="170" xfId="0" applyFont="1" applyBorder="1" applyAlignment="1">
      <alignment horizontal="left" vertical="center" wrapText="1"/>
    </xf>
    <xf numFmtId="0" fontId="28" fillId="0" borderId="186" xfId="0" applyFont="1" applyBorder="1" applyAlignment="1">
      <alignment horizontal="left" vertical="center" wrapText="1"/>
    </xf>
    <xf numFmtId="0" fontId="28" fillId="0" borderId="168" xfId="0" applyFont="1" applyBorder="1" applyAlignment="1">
      <alignment horizontal="left" vertical="center" wrapText="1"/>
    </xf>
    <xf numFmtId="0" fontId="28" fillId="3" borderId="7" xfId="0" applyFont="1" applyFill="1" applyBorder="1" applyAlignment="1" applyProtection="1">
      <alignment horizontal="center" vertical="center"/>
      <protection locked="0"/>
    </xf>
    <xf numFmtId="188" fontId="29" fillId="0" borderId="68" xfId="0" applyNumberFormat="1" applyFont="1" applyBorder="1" applyAlignment="1">
      <alignment horizontal="right" vertical="center"/>
    </xf>
    <xf numFmtId="188" fontId="29" fillId="0" borderId="156" xfId="0" applyNumberFormat="1" applyFont="1" applyBorder="1" applyAlignment="1">
      <alignment horizontal="right" vertical="center"/>
    </xf>
    <xf numFmtId="188" fontId="29" fillId="0" borderId="158" xfId="0" applyNumberFormat="1" applyFont="1" applyBorder="1" applyAlignment="1">
      <alignment horizontal="right" vertical="center"/>
    </xf>
    <xf numFmtId="0" fontId="29" fillId="0" borderId="164" xfId="0" applyFont="1" applyBorder="1" applyAlignment="1">
      <alignment horizontal="right" vertical="center"/>
    </xf>
    <xf numFmtId="188" fontId="29" fillId="0" borderId="67" xfId="0" applyNumberFormat="1" applyFont="1" applyBorder="1" applyAlignment="1">
      <alignment horizontal="right" vertical="center"/>
    </xf>
    <xf numFmtId="188" fontId="29" fillId="0" borderId="149" xfId="0" applyNumberFormat="1" applyFont="1" applyBorder="1" applyAlignment="1">
      <alignment horizontal="right" vertical="center"/>
    </xf>
    <xf numFmtId="188" fontId="29" fillId="0" borderId="69" xfId="0" applyNumberFormat="1" applyFont="1" applyBorder="1" applyAlignment="1">
      <alignment horizontal="right" vertical="center"/>
    </xf>
    <xf numFmtId="0" fontId="29" fillId="0" borderId="179" xfId="0" applyFont="1" applyBorder="1" applyAlignment="1">
      <alignment horizontal="right" vertical="center"/>
    </xf>
    <xf numFmtId="0" fontId="29" fillId="0" borderId="163" xfId="0" applyFont="1" applyBorder="1" applyAlignment="1">
      <alignment horizontal="center" vertical="center"/>
    </xf>
    <xf numFmtId="0" fontId="29" fillId="0" borderId="15" xfId="0" applyFont="1" applyBorder="1" applyAlignment="1">
      <alignment horizontal="center" vertical="center"/>
    </xf>
    <xf numFmtId="188" fontId="29" fillId="0" borderId="164" xfId="0" applyNumberFormat="1" applyFont="1" applyBorder="1" applyAlignment="1">
      <alignment horizontal="right" vertical="center"/>
    </xf>
    <xf numFmtId="0" fontId="29" fillId="0" borderId="169" xfId="0" applyFont="1" applyBorder="1" applyAlignment="1">
      <alignment horizontal="right" vertical="center"/>
    </xf>
    <xf numFmtId="188" fontId="29" fillId="0" borderId="150" xfId="0" applyNumberFormat="1" applyFont="1" applyBorder="1" applyAlignment="1">
      <alignment horizontal="right" vertical="center"/>
    </xf>
    <xf numFmtId="188" fontId="29" fillId="0" borderId="179" xfId="0" applyNumberFormat="1" applyFont="1" applyBorder="1" applyAlignment="1">
      <alignment horizontal="right" vertical="center"/>
    </xf>
    <xf numFmtId="0" fontId="29" fillId="0" borderId="180" xfId="0" applyFont="1" applyBorder="1" applyAlignment="1">
      <alignment horizontal="right" vertical="center"/>
    </xf>
    <xf numFmtId="0" fontId="29" fillId="0" borderId="170" xfId="0" applyFont="1" applyBorder="1" applyAlignment="1">
      <alignment horizontal="center" vertical="center"/>
    </xf>
    <xf numFmtId="0" fontId="29" fillId="0" borderId="169" xfId="0" applyFont="1" applyBorder="1" applyAlignment="1">
      <alignment horizontal="center" vertical="center"/>
    </xf>
    <xf numFmtId="0" fontId="29" fillId="0" borderId="180" xfId="0" applyFont="1" applyBorder="1" applyAlignment="1">
      <alignment horizontal="center" vertical="center"/>
    </xf>
    <xf numFmtId="0" fontId="30" fillId="6" borderId="157" xfId="0" applyFont="1" applyFill="1" applyBorder="1" applyAlignment="1">
      <alignment horizontal="center" vertical="center"/>
    </xf>
    <xf numFmtId="0" fontId="29" fillId="6" borderId="157" xfId="0" applyFont="1" applyFill="1" applyBorder="1" applyAlignment="1">
      <alignment horizontal="center" vertical="center"/>
    </xf>
    <xf numFmtId="188" fontId="29" fillId="0" borderId="157" xfId="0" applyNumberFormat="1" applyFont="1" applyBorder="1" applyAlignment="1">
      <alignment horizontal="right" vertical="center"/>
    </xf>
    <xf numFmtId="188" fontId="29" fillId="0" borderId="153" xfId="0" applyNumberFormat="1" applyFont="1" applyBorder="1" applyAlignment="1">
      <alignment horizontal="right" vertical="center"/>
    </xf>
    <xf numFmtId="188" fontId="29" fillId="0" borderId="148" xfId="0" applyNumberFormat="1" applyFont="1" applyBorder="1" applyAlignment="1">
      <alignment horizontal="right" vertical="center"/>
    </xf>
    <xf numFmtId="188" fontId="29" fillId="0" borderId="162" xfId="0" applyNumberFormat="1" applyFont="1" applyBorder="1" applyAlignment="1">
      <alignment horizontal="right" vertical="center"/>
    </xf>
    <xf numFmtId="0" fontId="29" fillId="0" borderId="6" xfId="0" applyFont="1" applyBorder="1" applyAlignment="1">
      <alignment horizontal="center" vertical="center"/>
    </xf>
    <xf numFmtId="0" fontId="26" fillId="3" borderId="8" xfId="0" applyFont="1" applyFill="1" applyBorder="1" applyAlignment="1" applyProtection="1">
      <alignment horizontal="left" vertical="center" wrapText="1"/>
      <protection locked="0"/>
    </xf>
    <xf numFmtId="0" fontId="30" fillId="0" borderId="148" xfId="0" applyFont="1" applyBorder="1" applyAlignment="1">
      <alignment horizontal="center" vertical="center"/>
    </xf>
    <xf numFmtId="0" fontId="29" fillId="0" borderId="129" xfId="0" applyFont="1" applyBorder="1" applyAlignment="1">
      <alignment horizontal="center" vertical="center"/>
    </xf>
    <xf numFmtId="0" fontId="30" fillId="6" borderId="129" xfId="0" applyFont="1" applyFill="1" applyBorder="1" applyAlignment="1">
      <alignment horizontal="center" vertical="center"/>
    </xf>
    <xf numFmtId="0" fontId="29" fillId="6" borderId="129" xfId="0" applyFont="1" applyFill="1" applyBorder="1" applyAlignment="1">
      <alignment horizontal="center" vertical="center"/>
    </xf>
    <xf numFmtId="188" fontId="29" fillId="0" borderId="129" xfId="0" applyNumberFormat="1" applyFont="1" applyBorder="1" applyAlignment="1">
      <alignment horizontal="right" vertical="center"/>
    </xf>
    <xf numFmtId="0" fontId="29" fillId="0" borderId="158" xfId="0" applyFont="1" applyBorder="1" applyAlignment="1">
      <alignment horizontal="right" vertical="center"/>
    </xf>
    <xf numFmtId="0" fontId="29" fillId="0" borderId="69" xfId="0" applyFont="1" applyBorder="1" applyAlignment="1">
      <alignment horizontal="right" vertical="center"/>
    </xf>
    <xf numFmtId="0" fontId="27" fillId="0" borderId="133" xfId="0" applyFont="1" applyBorder="1" applyAlignment="1">
      <alignment horizontal="center" vertical="center"/>
    </xf>
    <xf numFmtId="0" fontId="27" fillId="0" borderId="63" xfId="0" applyFont="1" applyBorder="1" applyAlignment="1">
      <alignment horizontal="center" vertical="center"/>
    </xf>
    <xf numFmtId="0" fontId="28" fillId="3" borderId="136"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6" fillId="3" borderId="137"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0" fontId="29" fillId="0" borderId="162" xfId="0" applyFont="1" applyBorder="1" applyAlignment="1">
      <alignment horizontal="center" vertical="center"/>
    </xf>
    <xf numFmtId="0" fontId="26" fillId="3" borderId="141" xfId="0" applyFont="1" applyFill="1" applyBorder="1" applyAlignment="1" applyProtection="1">
      <alignment horizontal="left" vertical="center" wrapText="1"/>
      <protection locked="0"/>
    </xf>
    <xf numFmtId="0" fontId="27" fillId="0" borderId="134" xfId="0" applyFont="1" applyBorder="1" applyAlignment="1">
      <alignment horizontal="center" vertical="center"/>
    </xf>
    <xf numFmtId="0" fontId="27" fillId="0" borderId="15" xfId="0" applyFont="1" applyBorder="1" applyAlignment="1">
      <alignment horizontal="center" vertical="center" wrapText="1"/>
    </xf>
    <xf numFmtId="0" fontId="27" fillId="0" borderId="188" xfId="0" applyFont="1" applyBorder="1" applyAlignment="1">
      <alignment horizontal="center" vertical="center" wrapText="1"/>
    </xf>
    <xf numFmtId="0" fontId="27" fillId="0" borderId="138"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57" xfId="0" applyFont="1" applyBorder="1" applyAlignment="1">
      <alignment horizontal="left" vertical="center" wrapText="1"/>
    </xf>
    <xf numFmtId="0" fontId="28" fillId="0" borderId="169"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xf>
    <xf numFmtId="0" fontId="28" fillId="0" borderId="144" xfId="0" applyFont="1" applyBorder="1" applyAlignment="1">
      <alignment horizontal="left" vertical="center" wrapText="1"/>
    </xf>
    <xf numFmtId="0" fontId="28" fillId="0" borderId="140" xfId="0" applyFont="1" applyBorder="1" applyAlignment="1">
      <alignment horizontal="left" vertical="center" wrapText="1"/>
    </xf>
    <xf numFmtId="0" fontId="28" fillId="0" borderId="141" xfId="0" applyFont="1" applyBorder="1" applyAlignment="1">
      <alignment horizontal="left" vertical="center" wrapText="1"/>
    </xf>
    <xf numFmtId="0" fontId="28" fillId="3" borderId="140" xfId="0" applyFont="1" applyFill="1" applyBorder="1" applyAlignment="1" applyProtection="1">
      <alignment horizontal="center" vertical="center"/>
      <protection locked="0"/>
    </xf>
    <xf numFmtId="0" fontId="30" fillId="12" borderId="67" xfId="0" applyFont="1" applyFill="1" applyBorder="1" applyAlignment="1">
      <alignment horizontal="center" vertical="center"/>
    </xf>
    <xf numFmtId="0" fontId="27" fillId="0" borderId="158" xfId="0" applyFont="1" applyBorder="1" applyAlignment="1">
      <alignment horizontal="center" vertical="center" wrapText="1"/>
    </xf>
    <xf numFmtId="0" fontId="27" fillId="0" borderId="176" xfId="0" applyFont="1" applyBorder="1" applyAlignment="1">
      <alignment horizontal="center" vertical="center" wrapText="1"/>
    </xf>
    <xf numFmtId="0" fontId="27" fillId="0" borderId="146" xfId="0" applyFont="1" applyBorder="1" applyAlignment="1">
      <alignment horizontal="center" vertical="center" wrapText="1"/>
    </xf>
    <xf numFmtId="0" fontId="28" fillId="3" borderId="131"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9" fillId="5" borderId="135" xfId="0" applyFont="1" applyFill="1" applyBorder="1" applyAlignment="1">
      <alignment horizontal="center" vertical="center"/>
    </xf>
    <xf numFmtId="0" fontId="29" fillId="5" borderId="138" xfId="0" applyFont="1" applyFill="1" applyBorder="1" applyAlignment="1">
      <alignment horizontal="center" vertical="center"/>
    </xf>
    <xf numFmtId="0" fontId="29" fillId="5" borderId="153" xfId="0" applyFont="1" applyFill="1" applyBorder="1" applyAlignment="1">
      <alignment horizontal="center" vertical="center"/>
    </xf>
    <xf numFmtId="0" fontId="29" fillId="0" borderId="153" xfId="0" applyFont="1" applyBorder="1" applyAlignment="1">
      <alignment horizontal="center" vertical="center"/>
    </xf>
    <xf numFmtId="0" fontId="27" fillId="0" borderId="167" xfId="0" applyFont="1" applyBorder="1" applyAlignment="1">
      <alignment horizontal="center" vertical="center"/>
    </xf>
    <xf numFmtId="0" fontId="28" fillId="0" borderId="169" xfId="0" applyFont="1" applyBorder="1" applyAlignment="1">
      <alignment horizontal="center" vertical="center" wrapText="1"/>
    </xf>
    <xf numFmtId="0" fontId="28" fillId="0" borderId="186" xfId="0" applyFont="1" applyBorder="1" applyAlignment="1">
      <alignment horizontal="center" vertical="center" wrapText="1"/>
    </xf>
    <xf numFmtId="0" fontId="28" fillId="0" borderId="168" xfId="0" applyFont="1" applyBorder="1" applyAlignment="1">
      <alignment horizontal="center" vertical="center" wrapText="1"/>
    </xf>
    <xf numFmtId="0" fontId="28" fillId="0" borderId="170" xfId="0" applyFont="1" applyBorder="1" applyAlignment="1">
      <alignment vertical="center" wrapText="1"/>
    </xf>
    <xf numFmtId="0" fontId="28" fillId="0" borderId="186" xfId="0" applyFont="1" applyBorder="1" applyAlignment="1">
      <alignment vertical="center" wrapText="1"/>
    </xf>
    <xf numFmtId="0" fontId="28" fillId="0" borderId="189" xfId="0" applyFont="1" applyBorder="1" applyAlignment="1">
      <alignment vertical="center" wrapText="1"/>
    </xf>
    <xf numFmtId="0" fontId="28" fillId="0" borderId="168" xfId="0" applyFont="1" applyBorder="1" applyAlignment="1">
      <alignment vertical="center" wrapText="1"/>
    </xf>
    <xf numFmtId="0" fontId="28" fillId="3" borderId="168" xfId="0" applyFont="1" applyFill="1" applyBorder="1" applyAlignment="1" applyProtection="1">
      <alignment horizontal="center" vertical="center"/>
      <protection locked="0"/>
    </xf>
    <xf numFmtId="0" fontId="28" fillId="3" borderId="178" xfId="0" applyFont="1" applyFill="1" applyBorder="1" applyAlignment="1" applyProtection="1">
      <alignment horizontal="center" vertical="center"/>
      <protection locked="0"/>
    </xf>
    <xf numFmtId="0" fontId="26" fillId="3" borderId="174" xfId="0" applyFont="1" applyFill="1" applyBorder="1" applyAlignment="1" applyProtection="1">
      <alignment horizontal="left" vertical="center" wrapText="1"/>
      <protection locked="0"/>
    </xf>
    <xf numFmtId="0" fontId="26" fillId="3" borderId="132" xfId="0" applyFont="1" applyFill="1" applyBorder="1" applyAlignment="1" applyProtection="1">
      <alignment horizontal="left" vertical="center" wrapText="1"/>
      <protection locked="0"/>
    </xf>
    <xf numFmtId="0" fontId="30" fillId="12" borderId="64" xfId="0" applyFont="1" applyFill="1" applyBorder="1" applyAlignment="1">
      <alignment horizontal="center" vertical="center"/>
    </xf>
    <xf numFmtId="0" fontId="30" fillId="12" borderId="126" xfId="0" applyFont="1" applyFill="1" applyBorder="1" applyAlignment="1">
      <alignment horizontal="center" vertical="center"/>
    </xf>
    <xf numFmtId="0" fontId="28" fillId="0" borderId="171" xfId="0" applyFont="1" applyBorder="1" applyAlignment="1">
      <alignment horizontal="center" vertical="center"/>
    </xf>
    <xf numFmtId="0" fontId="28" fillId="0" borderId="12" xfId="0" applyFont="1" applyBorder="1" applyAlignment="1">
      <alignment horizontal="center" vertical="center"/>
    </xf>
    <xf numFmtId="0" fontId="28" fillId="0" borderId="174" xfId="0" applyFont="1" applyBorder="1" applyAlignment="1">
      <alignment horizontal="center" vertical="center"/>
    </xf>
    <xf numFmtId="0" fontId="28" fillId="0" borderId="190" xfId="0" applyFont="1" applyBorder="1" applyAlignment="1">
      <alignment horizontal="left" vertical="center" wrapText="1"/>
    </xf>
    <xf numFmtId="0" fontId="29" fillId="5" borderId="6" xfId="0" applyFont="1" applyFill="1" applyBorder="1" applyAlignment="1">
      <alignment horizontal="center" vertical="center"/>
    </xf>
    <xf numFmtId="0" fontId="29" fillId="5" borderId="12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129" xfId="0" applyFont="1" applyFill="1" applyBorder="1" applyAlignment="1">
      <alignment horizontal="center" vertical="center"/>
    </xf>
    <xf numFmtId="188" fontId="29" fillId="0" borderId="66" xfId="0" applyNumberFormat="1" applyFont="1" applyBorder="1" applyAlignment="1">
      <alignment horizontal="right" vertical="center"/>
    </xf>
    <xf numFmtId="0" fontId="29" fillId="0" borderId="64" xfId="0" applyFont="1" applyBorder="1" applyAlignment="1">
      <alignment horizontal="center" vertical="center"/>
    </xf>
    <xf numFmtId="0" fontId="29" fillId="0" borderId="126" xfId="0" applyFont="1" applyBorder="1" applyAlignment="1">
      <alignment horizontal="center" vertical="center"/>
    </xf>
    <xf numFmtId="0" fontId="30" fillId="6" borderId="65" xfId="0" applyFont="1" applyFill="1" applyBorder="1" applyAlignment="1">
      <alignment horizontal="center" vertical="center"/>
    </xf>
    <xf numFmtId="0" fontId="29" fillId="0" borderId="67" xfId="0" applyFont="1" applyBorder="1" applyAlignment="1">
      <alignment horizontal="center" vertical="center"/>
    </xf>
    <xf numFmtId="0" fontId="29" fillId="0" borderId="149" xfId="0" applyFont="1" applyBorder="1" applyAlignment="1">
      <alignment horizontal="center" vertical="center"/>
    </xf>
    <xf numFmtId="0" fontId="29" fillId="0" borderId="150" xfId="0" applyFont="1" applyBorder="1" applyAlignment="1">
      <alignment horizontal="center" vertical="center"/>
    </xf>
    <xf numFmtId="0" fontId="30" fillId="12" borderId="149" xfId="0" applyFont="1" applyFill="1" applyBorder="1" applyAlignment="1">
      <alignment horizontal="center" vertical="center"/>
    </xf>
    <xf numFmtId="0" fontId="30" fillId="12" borderId="150" xfId="0" applyFont="1" applyFill="1" applyBorder="1" applyAlignment="1">
      <alignment horizontal="center" vertical="center"/>
    </xf>
    <xf numFmtId="0" fontId="29" fillId="0" borderId="148" xfId="0" applyFont="1" applyBorder="1" applyAlignment="1">
      <alignment horizontal="center" vertical="center"/>
    </xf>
    <xf numFmtId="0" fontId="28" fillId="0" borderId="187" xfId="0" applyFont="1" applyBorder="1" applyAlignment="1">
      <alignment horizontal="left" vertical="center" wrapText="1"/>
    </xf>
    <xf numFmtId="0" fontId="28" fillId="3" borderId="132" xfId="0" applyFont="1" applyFill="1" applyBorder="1" applyAlignment="1" applyProtection="1">
      <alignment horizontal="center" vertical="center"/>
      <protection locked="0"/>
    </xf>
    <xf numFmtId="0" fontId="28" fillId="3" borderId="171" xfId="0" applyFont="1" applyFill="1" applyBorder="1" applyAlignment="1" applyProtection="1">
      <alignment horizontal="center" vertical="center"/>
      <protection locked="0"/>
    </xf>
    <xf numFmtId="0" fontId="26" fillId="3" borderId="171" xfId="0" applyFont="1" applyFill="1" applyBorder="1" applyAlignment="1" applyProtection="1">
      <alignment horizontal="left" vertical="center" wrapText="1"/>
      <protection locked="0"/>
    </xf>
    <xf numFmtId="0" fontId="30" fillId="12" borderId="148" xfId="0" applyFont="1" applyFill="1" applyBorder="1" applyAlignment="1">
      <alignment horizontal="center" vertical="center"/>
    </xf>
    <xf numFmtId="188" fontId="29" fillId="0" borderId="180" xfId="0" applyNumberFormat="1" applyFont="1" applyBorder="1" applyAlignment="1">
      <alignment horizontal="right" vertical="center"/>
    </xf>
    <xf numFmtId="0" fontId="26" fillId="3" borderId="4" xfId="0" applyFont="1" applyFill="1" applyBorder="1" applyAlignment="1" applyProtection="1">
      <alignment horizontal="left" vertical="center" wrapText="1"/>
      <protection locked="0"/>
    </xf>
    <xf numFmtId="0" fontId="29" fillId="0" borderId="155" xfId="0" applyFont="1" applyBorder="1" applyAlignment="1">
      <alignment horizontal="center" vertical="center"/>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28" fillId="0" borderId="144" xfId="0" applyFont="1" applyBorder="1" applyAlignment="1">
      <alignment horizontal="center" vertical="center"/>
    </xf>
    <xf numFmtId="0" fontId="28" fillId="0" borderId="2" xfId="0" applyFont="1" applyBorder="1" applyAlignment="1">
      <alignment horizontal="center" vertical="center" wrapText="1"/>
    </xf>
    <xf numFmtId="0" fontId="28" fillId="0" borderId="17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14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40" xfId="0" applyFont="1" applyBorder="1" applyAlignment="1">
      <alignment horizontal="center" vertical="center" wrapText="1"/>
    </xf>
    <xf numFmtId="0" fontId="28" fillId="0" borderId="141" xfId="0" applyFont="1" applyBorder="1" applyAlignment="1">
      <alignment horizontal="center" vertical="center" wrapText="1"/>
    </xf>
    <xf numFmtId="0" fontId="28" fillId="0" borderId="172" xfId="0" applyFont="1" applyBorder="1" applyAlignment="1">
      <alignment horizontal="left" vertical="center" wrapText="1"/>
    </xf>
    <xf numFmtId="0" fontId="28" fillId="0" borderId="138" xfId="0" applyFont="1" applyBorder="1" applyAlignment="1">
      <alignment horizontal="left" vertical="center" wrapText="1"/>
    </xf>
    <xf numFmtId="0" fontId="28" fillId="0" borderId="143" xfId="0" applyFont="1" applyBorder="1" applyAlignment="1">
      <alignment horizontal="left" vertical="center" wrapText="1"/>
    </xf>
    <xf numFmtId="0" fontId="28" fillId="0" borderId="139" xfId="0" applyFont="1" applyBorder="1" applyAlignment="1">
      <alignment horizontal="left" vertical="center" wrapText="1"/>
    </xf>
    <xf numFmtId="0" fontId="28" fillId="0" borderId="145" xfId="0" applyFont="1" applyBorder="1" applyAlignment="1">
      <alignment horizontal="left" vertical="center" wrapText="1"/>
    </xf>
    <xf numFmtId="0" fontId="28" fillId="0" borderId="150" xfId="0" applyFont="1" applyBorder="1" applyAlignment="1">
      <alignment horizontal="left" vertical="center" wrapText="1"/>
    </xf>
    <xf numFmtId="0" fontId="28" fillId="0" borderId="180" xfId="0" applyFont="1" applyBorder="1" applyAlignment="1">
      <alignment horizontal="left" vertical="center" wrapText="1"/>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8" fillId="3" borderId="141" xfId="0" applyFont="1" applyFill="1" applyBorder="1" applyAlignment="1" applyProtection="1">
      <alignment horizontal="center" vertical="center"/>
      <protection locked="0"/>
    </xf>
    <xf numFmtId="0" fontId="28" fillId="0" borderId="163" xfId="0" applyFont="1" applyBorder="1" applyAlignment="1">
      <alignment horizontal="center" vertical="center"/>
    </xf>
    <xf numFmtId="0" fontId="28" fillId="0" borderId="15" xfId="0" applyFont="1" applyBorder="1" applyAlignment="1">
      <alignment horizontal="center" vertical="center"/>
    </xf>
    <xf numFmtId="0" fontId="28" fillId="0" borderId="188" xfId="0" applyFont="1" applyBorder="1" applyAlignment="1">
      <alignment horizontal="left" vertical="center" wrapText="1"/>
    </xf>
    <xf numFmtId="0" fontId="28" fillId="3" borderId="3" xfId="0" applyFont="1" applyFill="1" applyBorder="1" applyAlignment="1" applyProtection="1">
      <alignment horizontal="center" vertical="center"/>
      <protection locked="0"/>
    </xf>
    <xf numFmtId="0" fontId="27" fillId="4" borderId="133" xfId="0" applyFont="1" applyFill="1" applyBorder="1" applyAlignment="1" applyProtection="1">
      <alignment horizontal="center" vertical="center" wrapText="1"/>
      <protection locked="0"/>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175" xfId="0" applyFont="1" applyBorder="1" applyAlignment="1">
      <alignment horizontal="left" vertical="center" wrapText="1"/>
    </xf>
    <xf numFmtId="0" fontId="27" fillId="0" borderId="15" xfId="0" applyFont="1" applyBorder="1" applyAlignment="1">
      <alignment horizontal="left" vertical="center" wrapText="1"/>
    </xf>
    <xf numFmtId="0" fontId="27" fillId="0" borderId="13" xfId="0" applyFont="1" applyBorder="1" applyAlignment="1">
      <alignment horizontal="left" vertical="center" wrapText="1"/>
    </xf>
    <xf numFmtId="0" fontId="27" fillId="0" borderId="188"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72" xfId="0" applyFont="1" applyBorder="1" applyAlignment="1">
      <alignment horizontal="left" vertical="center" wrapText="1"/>
    </xf>
    <xf numFmtId="0" fontId="28" fillId="0" borderId="131" xfId="0" applyFont="1" applyBorder="1" applyAlignment="1">
      <alignment horizontal="left" vertical="center" wrapText="1"/>
    </xf>
    <xf numFmtId="0" fontId="28" fillId="0" borderId="136" xfId="0" applyFont="1" applyBorder="1" applyAlignment="1">
      <alignment horizontal="left" vertical="center" wrapText="1"/>
    </xf>
    <xf numFmtId="0" fontId="28" fillId="0" borderId="137" xfId="0" applyFont="1" applyBorder="1" applyAlignment="1">
      <alignment horizontal="left" vertical="center" wrapText="1"/>
    </xf>
    <xf numFmtId="0" fontId="28" fillId="3" borderId="163"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0" borderId="133" xfId="0" applyFont="1" applyBorder="1" applyAlignment="1">
      <alignment horizontal="center" vertical="center"/>
    </xf>
    <xf numFmtId="0" fontId="28" fillId="0" borderId="63" xfId="0" applyFont="1" applyBorder="1" applyAlignment="1">
      <alignment horizontal="center" vertical="center"/>
    </xf>
    <xf numFmtId="0" fontId="28" fillId="0" borderId="134" xfId="0" applyFont="1" applyBorder="1" applyAlignment="1">
      <alignment horizontal="center" vertical="center"/>
    </xf>
    <xf numFmtId="0" fontId="27" fillId="0" borderId="13" xfId="0" applyFont="1" applyBorder="1" applyAlignment="1">
      <alignment horizontal="center" vertical="center"/>
    </xf>
    <xf numFmtId="0" fontId="27" fillId="0" borderId="188" xfId="0" applyFont="1" applyBorder="1" applyAlignment="1">
      <alignment horizontal="center" vertical="center"/>
    </xf>
    <xf numFmtId="0" fontId="27" fillId="0" borderId="15" xfId="0" applyFont="1" applyBorder="1" applyAlignment="1">
      <alignment horizontal="center" vertical="center"/>
    </xf>
    <xf numFmtId="0" fontId="27" fillId="0" borderId="15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38"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27" fillId="0" borderId="139" xfId="0" applyFont="1" applyBorder="1" applyAlignment="1">
      <alignment horizontal="center" vertical="center"/>
    </xf>
    <xf numFmtId="0" fontId="27" fillId="0" borderId="140" xfId="0" applyFont="1" applyBorder="1" applyAlignment="1">
      <alignment horizontal="center" vertical="center"/>
    </xf>
    <xf numFmtId="0" fontId="27" fillId="0" borderId="141" xfId="0" applyFont="1" applyBorder="1" applyAlignment="1">
      <alignment horizontal="center" vertical="center"/>
    </xf>
    <xf numFmtId="0" fontId="28" fillId="0" borderId="135" xfId="0" applyFont="1" applyBorder="1" applyAlignment="1">
      <alignment horizontal="center" vertical="center" wrapText="1"/>
    </xf>
    <xf numFmtId="0" fontId="28" fillId="0" borderId="136" xfId="0" applyFont="1" applyBorder="1" applyAlignment="1">
      <alignment horizontal="center" vertical="center" wrapText="1"/>
    </xf>
    <xf numFmtId="0" fontId="28" fillId="0" borderId="137" xfId="0" applyFont="1" applyBorder="1" applyAlignment="1">
      <alignment horizontal="center" vertical="center" wrapText="1"/>
    </xf>
    <xf numFmtId="0" fontId="28" fillId="0" borderId="138" xfId="0" applyFont="1" applyBorder="1" applyAlignment="1">
      <alignment horizontal="center" vertical="center" wrapText="1"/>
    </xf>
    <xf numFmtId="0" fontId="28" fillId="3" borderId="144" xfId="0" applyFont="1" applyFill="1" applyBorder="1" applyAlignment="1" applyProtection="1">
      <alignment horizontal="center" vertical="center"/>
      <protection locked="0"/>
    </xf>
    <xf numFmtId="0" fontId="29" fillId="0" borderId="154" xfId="0" applyFont="1" applyBorder="1" applyAlignment="1">
      <alignment horizontal="center" vertical="center"/>
    </xf>
    <xf numFmtId="0" fontId="29" fillId="0" borderId="147" xfId="0" applyFont="1" applyBorder="1" applyAlignment="1">
      <alignment horizontal="center" vertical="center"/>
    </xf>
    <xf numFmtId="0" fontId="27" fillId="4" borderId="12" xfId="0" applyFont="1" applyFill="1" applyBorder="1" applyAlignment="1" applyProtection="1">
      <alignment horizontal="center" vertical="center" wrapText="1"/>
      <protection locked="0"/>
    </xf>
    <xf numFmtId="0" fontId="30" fillId="0" borderId="161" xfId="0" applyFont="1" applyBorder="1" applyAlignment="1">
      <alignment horizontal="center" vertical="center"/>
    </xf>
    <xf numFmtId="0" fontId="30" fillId="0" borderId="66" xfId="0" applyFont="1" applyBorder="1" applyAlignment="1">
      <alignment horizontal="center" vertical="center"/>
    </xf>
    <xf numFmtId="0" fontId="30" fillId="0" borderId="160" xfId="0" applyFont="1" applyBorder="1" applyAlignment="1">
      <alignment horizontal="center" vertical="center"/>
    </xf>
    <xf numFmtId="0" fontId="27" fillId="0" borderId="164" xfId="0" applyFont="1" applyBorder="1" applyAlignment="1">
      <alignment horizontal="center" vertical="center"/>
    </xf>
    <xf numFmtId="0" fontId="27" fillId="0" borderId="169" xfId="0" applyFont="1" applyBorder="1" applyAlignment="1">
      <alignment horizontal="center" vertical="center"/>
    </xf>
    <xf numFmtId="0" fontId="27" fillId="0" borderId="186" xfId="0" applyFont="1" applyBorder="1" applyAlignment="1">
      <alignment horizontal="center" vertical="center"/>
    </xf>
    <xf numFmtId="0" fontId="27" fillId="0" borderId="168" xfId="0" applyFont="1" applyBorder="1" applyAlignment="1">
      <alignment horizontal="center" vertical="center"/>
    </xf>
    <xf numFmtId="0" fontId="28" fillId="3" borderId="170" xfId="0" applyFont="1" applyFill="1" applyBorder="1" applyAlignment="1" applyProtection="1">
      <alignment horizontal="center" vertical="center"/>
      <protection locked="0"/>
    </xf>
    <xf numFmtId="0" fontId="28" fillId="0" borderId="189" xfId="0" applyFont="1" applyBorder="1" applyAlignment="1">
      <alignment horizontal="left" vertical="center" wrapText="1"/>
    </xf>
    <xf numFmtId="0" fontId="28" fillId="0" borderId="142" xfId="0" applyFont="1" applyBorder="1" applyAlignment="1">
      <alignment horizontal="left" vertical="center" wrapText="1"/>
    </xf>
    <xf numFmtId="0" fontId="28" fillId="0" borderId="139" xfId="0" applyFont="1" applyBorder="1" applyAlignment="1">
      <alignment horizontal="center" vertical="center" wrapText="1"/>
    </xf>
    <xf numFmtId="0" fontId="28" fillId="0" borderId="24" xfId="0" applyFont="1" applyBorder="1" applyAlignment="1">
      <alignment horizontal="center" vertical="center"/>
    </xf>
    <xf numFmtId="0" fontId="28" fillId="0" borderId="167" xfId="0" applyFont="1" applyBorder="1" applyAlignment="1">
      <alignment horizontal="center" vertical="center"/>
    </xf>
    <xf numFmtId="0" fontId="27" fillId="0" borderId="135" xfId="0" applyFont="1" applyBorder="1" applyAlignment="1">
      <alignment horizontal="center" vertical="center"/>
    </xf>
    <xf numFmtId="0" fontId="27" fillId="0" borderId="136" xfId="0" applyFont="1" applyBorder="1" applyAlignment="1">
      <alignment horizontal="center" vertical="center"/>
    </xf>
    <xf numFmtId="0" fontId="27" fillId="0" borderId="137" xfId="0" applyFont="1" applyBorder="1" applyAlignment="1">
      <alignment horizontal="center" vertical="center"/>
    </xf>
    <xf numFmtId="0" fontId="27" fillId="0" borderId="153"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8" fillId="0" borderId="148" xfId="0" applyFont="1" applyBorder="1" applyAlignment="1">
      <alignment horizontal="left" vertical="center" wrapText="1"/>
    </xf>
    <xf numFmtId="0" fontId="28" fillId="0" borderId="129" xfId="0" applyFont="1" applyBorder="1" applyAlignment="1">
      <alignment horizontal="left" vertical="center" wrapText="1"/>
    </xf>
    <xf numFmtId="0" fontId="28" fillId="0" borderId="153"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75"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1" xfId="0" applyFont="1" applyBorder="1" applyAlignment="1">
      <alignment horizontal="center" vertical="center" wrapText="1"/>
    </xf>
    <xf numFmtId="188" fontId="79" fillId="0" borderId="67" xfId="0" applyNumberFormat="1" applyFont="1" applyBorder="1" applyAlignment="1">
      <alignment horizontal="right" vertical="center"/>
    </xf>
    <xf numFmtId="188" fontId="79" fillId="0" borderId="149" xfId="0" applyNumberFormat="1" applyFont="1" applyBorder="1" applyAlignment="1">
      <alignment horizontal="right" vertical="center"/>
    </xf>
    <xf numFmtId="188" fontId="79" fillId="0" borderId="150" xfId="0" applyNumberFormat="1" applyFont="1" applyBorder="1" applyAlignment="1">
      <alignment horizontal="right" vertical="center"/>
    </xf>
    <xf numFmtId="188" fontId="79" fillId="0" borderId="69" xfId="0" applyNumberFormat="1" applyFont="1" applyBorder="1" applyAlignment="1">
      <alignment horizontal="right" vertical="center"/>
    </xf>
    <xf numFmtId="0" fontId="79" fillId="0" borderId="179" xfId="0" applyFont="1" applyBorder="1" applyAlignment="1">
      <alignment horizontal="right" vertical="center"/>
    </xf>
    <xf numFmtId="0" fontId="79" fillId="0" borderId="180" xfId="0" applyFont="1" applyBorder="1" applyAlignment="1">
      <alignment horizontal="right" vertical="center"/>
    </xf>
    <xf numFmtId="0" fontId="28" fillId="0" borderId="128" xfId="0" applyFont="1" applyBorder="1" applyAlignment="1">
      <alignment horizontal="center" vertical="center" wrapText="1"/>
    </xf>
    <xf numFmtId="0" fontId="28" fillId="0" borderId="160" xfId="0" applyFont="1" applyBorder="1" applyAlignment="1">
      <alignment horizontal="center" vertical="center" wrapText="1"/>
    </xf>
    <xf numFmtId="0" fontId="28" fillId="0" borderId="126" xfId="0" applyFont="1" applyBorder="1" applyAlignment="1">
      <alignment horizontal="left" vertical="center" wrapText="1"/>
    </xf>
    <xf numFmtId="0" fontId="28" fillId="0" borderId="128" xfId="0" applyFont="1" applyBorder="1" applyAlignment="1">
      <alignment horizontal="left" vertical="center" wrapText="1"/>
    </xf>
    <xf numFmtId="0" fontId="27" fillId="4" borderId="134" xfId="0" applyFont="1" applyFill="1" applyBorder="1" applyAlignment="1" applyProtection="1">
      <alignment horizontal="center" vertical="center" wrapText="1"/>
      <protection locked="0"/>
    </xf>
    <xf numFmtId="188" fontId="79" fillId="0" borderId="148" xfId="0" applyNumberFormat="1" applyFont="1" applyBorder="1" applyAlignment="1">
      <alignment horizontal="right" vertical="center"/>
    </xf>
    <xf numFmtId="0" fontId="28" fillId="0" borderId="3" xfId="0" applyFont="1" applyBorder="1" applyAlignment="1">
      <alignment horizontal="center" vertical="center"/>
    </xf>
    <xf numFmtId="0" fontId="28" fillId="0" borderId="172" xfId="0" applyFont="1" applyBorder="1" applyAlignment="1">
      <alignment horizontal="center" vertical="center"/>
    </xf>
    <xf numFmtId="0" fontId="28" fillId="0" borderId="0" xfId="0" applyFont="1" applyAlignment="1">
      <alignment horizontal="center" vertical="center"/>
    </xf>
    <xf numFmtId="0" fontId="28" fillId="0" borderId="143"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75" xfId="0" applyFont="1" applyBorder="1" applyAlignment="1">
      <alignment horizontal="center" vertical="center"/>
    </xf>
    <xf numFmtId="0" fontId="27" fillId="0" borderId="140" xfId="0" applyFont="1" applyBorder="1" applyAlignment="1">
      <alignment horizontal="center" vertical="center" wrapText="1"/>
    </xf>
    <xf numFmtId="0" fontId="27" fillId="0" borderId="141" xfId="0" applyFont="1" applyBorder="1" applyAlignment="1">
      <alignment horizontal="center" vertical="center" wrapText="1"/>
    </xf>
    <xf numFmtId="20" fontId="28" fillId="0" borderId="2" xfId="0" applyNumberFormat="1" applyFont="1" applyBorder="1" applyAlignment="1">
      <alignment horizontal="left" vertical="center" wrapText="1"/>
    </xf>
    <xf numFmtId="20" fontId="28" fillId="0" borderId="3" xfId="0" applyNumberFormat="1" applyFont="1" applyBorder="1" applyAlignment="1">
      <alignment horizontal="left" vertical="center" wrapText="1"/>
    </xf>
    <xf numFmtId="20" fontId="28" fillId="0" borderId="4" xfId="0" applyNumberFormat="1" applyFont="1" applyBorder="1" applyAlignment="1">
      <alignment horizontal="left" vertical="center" wrapText="1"/>
    </xf>
    <xf numFmtId="20" fontId="28" fillId="0" borderId="5" xfId="0" applyNumberFormat="1" applyFont="1" applyBorder="1" applyAlignment="1">
      <alignment horizontal="left" vertical="center" wrapText="1"/>
    </xf>
    <xf numFmtId="20" fontId="28" fillId="0" borderId="0" xfId="0" applyNumberFormat="1" applyFont="1" applyAlignment="1">
      <alignment horizontal="left" vertical="center" wrapText="1"/>
    </xf>
    <xf numFmtId="20" fontId="28" fillId="0" borderId="1" xfId="0" applyNumberFormat="1" applyFont="1" applyBorder="1" applyAlignment="1">
      <alignment horizontal="left" vertical="center" wrapText="1"/>
    </xf>
    <xf numFmtId="20" fontId="28" fillId="0" borderId="144" xfId="0" applyNumberFormat="1" applyFont="1" applyBorder="1" applyAlignment="1">
      <alignment horizontal="left" vertical="center" wrapText="1"/>
    </xf>
    <xf numFmtId="20" fontId="28" fillId="0" borderId="140" xfId="0" applyNumberFormat="1" applyFont="1" applyBorder="1" applyAlignment="1">
      <alignment horizontal="left" vertical="center" wrapText="1"/>
    </xf>
    <xf numFmtId="20" fontId="28" fillId="0" borderId="141" xfId="0" applyNumberFormat="1" applyFont="1" applyBorder="1" applyAlignment="1">
      <alignment horizontal="left" vertical="center" wrapText="1"/>
    </xf>
    <xf numFmtId="0" fontId="28" fillId="0" borderId="131" xfId="0" applyFont="1" applyBorder="1" applyAlignment="1">
      <alignment horizontal="center" vertical="center"/>
    </xf>
    <xf numFmtId="0" fontId="27" fillId="0" borderId="136" xfId="0" applyFont="1" applyBorder="1" applyAlignment="1">
      <alignment horizontal="center" vertical="center" wrapText="1"/>
    </xf>
    <xf numFmtId="0" fontId="27" fillId="0" borderId="137" xfId="0" applyFont="1" applyBorder="1" applyAlignment="1">
      <alignment horizontal="center" vertical="center" wrapText="1"/>
    </xf>
    <xf numFmtId="20" fontId="28" fillId="0" borderId="131" xfId="0" applyNumberFormat="1" applyFont="1" applyBorder="1" applyAlignment="1">
      <alignment horizontal="left" vertical="center" wrapText="1"/>
    </xf>
    <xf numFmtId="20" fontId="28" fillId="0" borderId="136" xfId="0" applyNumberFormat="1" applyFont="1" applyBorder="1" applyAlignment="1">
      <alignment horizontal="left" vertical="center" wrapText="1"/>
    </xf>
    <xf numFmtId="20" fontId="28" fillId="0" borderId="137" xfId="0" applyNumberFormat="1" applyFont="1" applyBorder="1" applyAlignment="1">
      <alignment horizontal="left" vertical="center" wrapText="1"/>
    </xf>
    <xf numFmtId="20" fontId="28" fillId="0" borderId="6" xfId="0" applyNumberFormat="1" applyFont="1" applyBorder="1" applyAlignment="1">
      <alignment horizontal="left" vertical="center" wrapText="1"/>
    </xf>
    <xf numFmtId="20" fontId="28" fillId="0" borderId="7" xfId="0" applyNumberFormat="1" applyFont="1" applyBorder="1" applyAlignment="1">
      <alignment horizontal="left" vertical="center" wrapText="1"/>
    </xf>
    <xf numFmtId="20" fontId="28" fillId="0" borderId="8" xfId="0" applyNumberFormat="1" applyFont="1" applyBorder="1" applyAlignment="1">
      <alignment horizontal="left" vertical="center" wrapText="1"/>
    </xf>
    <xf numFmtId="0" fontId="28" fillId="0" borderId="135" xfId="0" applyFont="1" applyBorder="1" applyAlignment="1">
      <alignment horizontal="left" vertical="center" wrapText="1"/>
    </xf>
    <xf numFmtId="0" fontId="29" fillId="5" borderId="147" xfId="0" applyFont="1" applyFill="1" applyBorder="1" applyAlignment="1">
      <alignment horizontal="center" vertical="center"/>
    </xf>
    <xf numFmtId="0" fontId="29" fillId="5" borderId="64" xfId="0" applyFont="1" applyFill="1" applyBorder="1" applyAlignment="1">
      <alignment horizontal="center" vertical="center"/>
    </xf>
    <xf numFmtId="0" fontId="29" fillId="5" borderId="126" xfId="0" applyFont="1" applyFill="1" applyBorder="1" applyAlignment="1">
      <alignment horizontal="center" vertical="center"/>
    </xf>
    <xf numFmtId="0" fontId="29" fillId="5" borderId="128" xfId="0" applyFont="1" applyFill="1" applyBorder="1" applyAlignment="1">
      <alignment horizontal="center" vertical="center"/>
    </xf>
    <xf numFmtId="0" fontId="27" fillId="0" borderId="2" xfId="0" applyFont="1" applyBorder="1" applyAlignment="1">
      <alignment horizontal="center" vertical="center"/>
    </xf>
    <xf numFmtId="0" fontId="27" fillId="0" borderId="172" xfId="0" applyFont="1" applyBorder="1" applyAlignment="1">
      <alignment horizontal="center" vertical="center"/>
    </xf>
    <xf numFmtId="0" fontId="27" fillId="0" borderId="5" xfId="0" applyFont="1" applyBorder="1" applyAlignment="1">
      <alignment horizontal="center" vertical="center"/>
    </xf>
    <xf numFmtId="0" fontId="27" fillId="0" borderId="143" xfId="0" applyFont="1" applyBorder="1" applyAlignment="1">
      <alignment horizontal="center" vertical="center"/>
    </xf>
    <xf numFmtId="0" fontId="27" fillId="0" borderId="6" xfId="0" applyFont="1" applyBorder="1" applyAlignment="1">
      <alignment horizontal="center" vertical="center"/>
    </xf>
    <xf numFmtId="0" fontId="27" fillId="0" borderId="175" xfId="0" applyFont="1" applyBorder="1" applyAlignment="1">
      <alignment horizontal="center" vertical="center"/>
    </xf>
    <xf numFmtId="0" fontId="29" fillId="5" borderId="148" xfId="0" applyFont="1" applyFill="1" applyBorder="1" applyAlignment="1">
      <alignment horizontal="center" vertical="center"/>
    </xf>
    <xf numFmtId="0" fontId="27" fillId="13" borderId="174" xfId="0" applyFont="1" applyFill="1" applyBorder="1" applyAlignment="1" applyProtection="1">
      <alignment horizontal="center" vertical="center"/>
      <protection locked="0"/>
    </xf>
    <xf numFmtId="0" fontId="27" fillId="13" borderId="132" xfId="0" applyFont="1" applyFill="1" applyBorder="1" applyAlignment="1" applyProtection="1">
      <alignment horizontal="center" vertical="center"/>
      <protection locked="0"/>
    </xf>
    <xf numFmtId="0" fontId="30" fillId="17" borderId="150" xfId="0" applyFont="1" applyFill="1" applyBorder="1" applyAlignment="1">
      <alignment horizontal="center" vertical="center"/>
    </xf>
    <xf numFmtId="0" fontId="30" fillId="17" borderId="70" xfId="0" applyFont="1" applyFill="1" applyBorder="1" applyAlignment="1">
      <alignment horizontal="center" vertical="center"/>
    </xf>
    <xf numFmtId="0" fontId="30" fillId="0" borderId="61" xfId="0" applyFont="1" applyBorder="1" applyAlignment="1">
      <alignment horizontal="center" vertical="center"/>
    </xf>
    <xf numFmtId="188" fontId="29" fillId="0" borderId="180" xfId="0" applyNumberFormat="1" applyFont="1" applyBorder="1">
      <alignment vertical="center"/>
    </xf>
    <xf numFmtId="0" fontId="29" fillId="0" borderId="71" xfId="0" applyFont="1" applyBorder="1">
      <alignment vertical="center"/>
    </xf>
    <xf numFmtId="0" fontId="29" fillId="0" borderId="130" xfId="0" applyFont="1" applyBorder="1" applyAlignment="1">
      <alignment horizontal="center" vertical="center"/>
    </xf>
    <xf numFmtId="0" fontId="30" fillId="0" borderId="157" xfId="0" applyFont="1" applyBorder="1" applyAlignment="1">
      <alignment horizontal="center" vertical="center"/>
    </xf>
    <xf numFmtId="188" fontId="29" fillId="0" borderId="155" xfId="0" applyNumberFormat="1" applyFont="1" applyBorder="1" applyAlignment="1">
      <alignment horizontal="right" vertical="center"/>
    </xf>
    <xf numFmtId="188" fontId="29" fillId="0" borderId="130" xfId="0" applyNumberFormat="1" applyFont="1" applyBorder="1" applyAlignment="1">
      <alignment horizontal="right" vertical="center"/>
    </xf>
    <xf numFmtId="0" fontId="30" fillId="0" borderId="159" xfId="0" applyFont="1" applyBorder="1" applyAlignment="1">
      <alignment horizontal="center" vertical="center"/>
    </xf>
    <xf numFmtId="0" fontId="30" fillId="0" borderId="155" xfId="0" applyFont="1" applyBorder="1" applyAlignment="1">
      <alignment horizontal="center" vertical="center"/>
    </xf>
    <xf numFmtId="0" fontId="30" fillId="0" borderId="65" xfId="0" applyFont="1" applyBorder="1" applyAlignment="1">
      <alignment horizontal="center" vertical="center"/>
    </xf>
    <xf numFmtId="0" fontId="28" fillId="0" borderId="132" xfId="0" applyFont="1" applyBorder="1" applyAlignment="1">
      <alignment vertical="center" wrapText="1"/>
    </xf>
    <xf numFmtId="0" fontId="27" fillId="13" borderId="133" xfId="0" applyFont="1" applyFill="1" applyBorder="1" applyAlignment="1" applyProtection="1">
      <alignment horizontal="center" vertical="center"/>
      <protection locked="0"/>
    </xf>
    <xf numFmtId="0" fontId="27" fillId="13" borderId="134" xfId="0" applyFont="1" applyFill="1" applyBorder="1" applyAlignment="1" applyProtection="1">
      <alignment horizontal="center" vertical="center"/>
      <protection locked="0"/>
    </xf>
    <xf numFmtId="0" fontId="26" fillId="14" borderId="133" xfId="0" applyFont="1" applyFill="1" applyBorder="1" applyAlignment="1" applyProtection="1">
      <alignment horizontal="center" vertical="center"/>
      <protection locked="0"/>
    </xf>
    <xf numFmtId="0" fontId="26" fillId="14" borderId="134" xfId="0" applyFont="1" applyFill="1" applyBorder="1" applyAlignment="1" applyProtection="1">
      <alignment horizontal="center" vertical="center"/>
      <protection locked="0"/>
    </xf>
    <xf numFmtId="0" fontId="30" fillId="0" borderId="154" xfId="0" applyFont="1" applyBorder="1" applyAlignment="1">
      <alignment horizontal="center" vertical="center"/>
    </xf>
    <xf numFmtId="0" fontId="30" fillId="0" borderId="71" xfId="0" applyFont="1" applyBorder="1" applyAlignment="1">
      <alignment horizontal="center" vertical="center"/>
    </xf>
    <xf numFmtId="0" fontId="26" fillId="13" borderId="133" xfId="0" applyFont="1" applyFill="1" applyBorder="1" applyAlignment="1" applyProtection="1">
      <alignment horizontal="left" vertical="center"/>
      <protection locked="0"/>
    </xf>
    <xf numFmtId="0" fontId="26" fillId="13" borderId="134" xfId="0" applyFont="1" applyFill="1" applyBorder="1" applyAlignment="1" applyProtection="1">
      <alignment horizontal="left" vertical="center"/>
      <protection locked="0"/>
    </xf>
    <xf numFmtId="0" fontId="27" fillId="0" borderId="135" xfId="0" applyFont="1" applyBorder="1" applyAlignment="1">
      <alignment horizontal="center" vertical="center" wrapText="1"/>
    </xf>
    <xf numFmtId="0" fontId="27" fillId="13" borderId="63" xfId="0" applyFont="1" applyFill="1" applyBorder="1" applyAlignment="1" applyProtection="1">
      <alignment horizontal="center" vertical="center"/>
      <protection locked="0"/>
    </xf>
    <xf numFmtId="0" fontId="26" fillId="13" borderId="133" xfId="0" applyFont="1" applyFill="1" applyBorder="1" applyAlignment="1" applyProtection="1">
      <alignment horizontal="center" vertical="center"/>
      <protection locked="0"/>
    </xf>
    <xf numFmtId="0" fontId="26" fillId="13" borderId="134" xfId="0" applyFont="1" applyFill="1" applyBorder="1" applyAlignment="1" applyProtection="1">
      <alignment horizontal="center" vertical="center"/>
      <protection locked="0"/>
    </xf>
    <xf numFmtId="0" fontId="30" fillId="17" borderId="147" xfId="0" applyFont="1" applyFill="1" applyBorder="1" applyAlignment="1">
      <alignment horizontal="center" vertical="center"/>
    </xf>
    <xf numFmtId="0" fontId="30" fillId="0" borderId="127" xfId="0" applyFont="1" applyBorder="1" applyAlignment="1">
      <alignment horizontal="center" vertical="center"/>
    </xf>
    <xf numFmtId="0" fontId="30" fillId="0" borderId="128" xfId="0" applyFont="1" applyBorder="1" applyAlignment="1">
      <alignment horizontal="center" vertical="center"/>
    </xf>
    <xf numFmtId="0" fontId="30" fillId="0" borderId="135" xfId="0" applyFont="1" applyBorder="1" applyAlignment="1">
      <alignment horizontal="center" vertical="center"/>
    </xf>
    <xf numFmtId="0" fontId="30" fillId="0" borderId="138" xfId="0" applyFont="1" applyBorder="1" applyAlignment="1">
      <alignment horizontal="center" vertical="center"/>
    </xf>
    <xf numFmtId="0" fontId="30" fillId="0" borderId="139" xfId="0" applyFont="1" applyBorder="1" applyAlignment="1">
      <alignment horizontal="center" vertical="center"/>
    </xf>
    <xf numFmtId="0" fontId="30" fillId="0" borderId="147" xfId="0" applyFont="1" applyBorder="1" applyAlignment="1">
      <alignment horizontal="center" vertical="center"/>
    </xf>
    <xf numFmtId="0" fontId="30" fillId="0" borderId="64" xfId="0" applyFont="1" applyBorder="1" applyAlignment="1">
      <alignment horizontal="center" vertical="center"/>
    </xf>
    <xf numFmtId="0" fontId="30" fillId="0" borderId="126" xfId="0" applyFont="1" applyBorder="1" applyAlignment="1">
      <alignment horizontal="center" vertical="center"/>
    </xf>
    <xf numFmtId="0" fontId="28" fillId="0" borderId="131" xfId="0" applyFont="1" applyBorder="1" applyAlignment="1">
      <alignment vertical="center" wrapText="1"/>
    </xf>
    <xf numFmtId="0" fontId="28" fillId="0" borderId="136" xfId="0" applyFont="1" applyBorder="1" applyAlignment="1">
      <alignment vertical="center" wrapText="1"/>
    </xf>
    <xf numFmtId="0" fontId="28" fillId="0" borderId="137" xfId="0" applyFont="1" applyBorder="1" applyAlignment="1">
      <alignment vertical="center" wrapText="1"/>
    </xf>
    <xf numFmtId="0" fontId="28" fillId="0" borderId="1" xfId="0" applyFont="1" applyBorder="1" applyAlignment="1">
      <alignment vertical="center" wrapText="1"/>
    </xf>
    <xf numFmtId="0" fontId="28" fillId="0" borderId="144" xfId="0" applyFont="1" applyBorder="1" applyAlignment="1">
      <alignment vertical="center" wrapText="1"/>
    </xf>
    <xf numFmtId="0" fontId="28" fillId="0" borderId="140" xfId="0" applyFont="1" applyBorder="1" applyAlignment="1">
      <alignment vertical="center" wrapText="1"/>
    </xf>
    <xf numFmtId="0" fontId="28" fillId="0" borderId="141" xfId="0" applyFont="1" applyBorder="1" applyAlignment="1">
      <alignment vertical="center" wrapText="1"/>
    </xf>
    <xf numFmtId="0" fontId="30" fillId="17" borderId="64" xfId="0" applyFont="1" applyFill="1" applyBorder="1" applyAlignment="1">
      <alignment horizontal="center" vertical="center"/>
    </xf>
    <xf numFmtId="0" fontId="30" fillId="17" borderId="126" xfId="0" applyFont="1" applyFill="1" applyBorder="1" applyAlignment="1">
      <alignment horizontal="center" vertical="center"/>
    </xf>
    <xf numFmtId="0" fontId="30" fillId="0" borderId="68" xfId="0" applyFont="1" applyBorder="1" applyAlignment="1">
      <alignment horizontal="center" vertical="center"/>
    </xf>
    <xf numFmtId="0" fontId="29" fillId="16" borderId="127" xfId="0" applyFont="1" applyFill="1" applyBorder="1" applyAlignment="1">
      <alignment horizontal="center" vertical="center"/>
    </xf>
    <xf numFmtId="0" fontId="29" fillId="16" borderId="65" xfId="0" applyFont="1" applyFill="1" applyBorder="1" applyAlignment="1">
      <alignment horizontal="center" vertical="center"/>
    </xf>
    <xf numFmtId="0" fontId="29" fillId="16" borderId="128" xfId="0" applyFont="1" applyFill="1" applyBorder="1" applyAlignment="1">
      <alignment horizontal="center" vertical="center"/>
    </xf>
    <xf numFmtId="0" fontId="29" fillId="16" borderId="161" xfId="0" applyFont="1" applyFill="1" applyBorder="1" applyAlignment="1">
      <alignment horizontal="center" vertical="center"/>
    </xf>
    <xf numFmtId="0" fontId="29" fillId="16" borderId="66" xfId="0" applyFont="1" applyFill="1" applyBorder="1" applyAlignment="1">
      <alignment horizontal="center" vertical="center"/>
    </xf>
    <xf numFmtId="0" fontId="29" fillId="16" borderId="160" xfId="0" applyFont="1" applyFill="1" applyBorder="1" applyAlignment="1">
      <alignment horizontal="center" vertical="center"/>
    </xf>
    <xf numFmtId="0" fontId="27" fillId="0" borderId="163" xfId="0" applyFont="1" applyBorder="1" applyAlignment="1">
      <alignment horizontal="left" vertical="center" wrapText="1"/>
    </xf>
    <xf numFmtId="0" fontId="27" fillId="0" borderId="176" xfId="0" applyFont="1" applyBorder="1" applyAlignment="1">
      <alignment horizontal="left" vertical="center" wrapText="1"/>
    </xf>
    <xf numFmtId="0" fontId="27" fillId="0" borderId="146" xfId="0" applyFont="1" applyBorder="1" applyAlignment="1">
      <alignment horizontal="left" vertical="center" wrapText="1"/>
    </xf>
    <xf numFmtId="0" fontId="27" fillId="0" borderId="132" xfId="0" applyFont="1" applyBorder="1" applyAlignment="1">
      <alignment vertical="center" wrapText="1"/>
    </xf>
    <xf numFmtId="0" fontId="27" fillId="0" borderId="171" xfId="0" applyFont="1" applyBorder="1" applyAlignment="1">
      <alignment vertical="center" wrapText="1"/>
    </xf>
    <xf numFmtId="0" fontId="27" fillId="13" borderId="171" xfId="0" applyFont="1" applyFill="1" applyBorder="1" applyAlignment="1" applyProtection="1">
      <alignment horizontal="center" vertical="center"/>
      <protection locked="0"/>
    </xf>
    <xf numFmtId="0" fontId="26" fillId="14" borderId="24" xfId="0" applyFont="1" applyFill="1" applyBorder="1" applyAlignment="1" applyProtection="1">
      <alignment horizontal="center" vertical="center"/>
      <protection locked="0"/>
    </xf>
    <xf numFmtId="0" fontId="26" fillId="13" borderId="24" xfId="0" applyFont="1" applyFill="1" applyBorder="1" applyAlignment="1" applyProtection="1">
      <alignment horizontal="left" vertical="center"/>
      <protection locked="0"/>
    </xf>
    <xf numFmtId="0" fontId="30" fillId="17" borderId="67" xfId="0" applyFont="1" applyFill="1" applyBorder="1" applyAlignment="1">
      <alignment horizontal="center" vertical="center"/>
    </xf>
    <xf numFmtId="0" fontId="29" fillId="16" borderId="147" xfId="0" applyFont="1" applyFill="1" applyBorder="1" applyAlignment="1">
      <alignment horizontal="center" vertical="center"/>
    </xf>
    <xf numFmtId="0" fontId="29" fillId="16" borderId="64" xfId="0" applyFont="1" applyFill="1" applyBorder="1" applyAlignment="1">
      <alignment horizontal="center" vertical="center"/>
    </xf>
    <xf numFmtId="0" fontId="29" fillId="16" borderId="126" xfId="0" applyFont="1" applyFill="1" applyBorder="1" applyAlignment="1">
      <alignment horizontal="center" vertical="center"/>
    </xf>
    <xf numFmtId="0" fontId="30" fillId="0" borderId="158" xfId="0" applyFont="1" applyBorder="1" applyAlignment="1">
      <alignment horizontal="center" vertical="center"/>
    </xf>
    <xf numFmtId="0" fontId="30" fillId="0" borderId="69" xfId="0" applyFont="1" applyBorder="1" applyAlignment="1">
      <alignment horizontal="center" vertical="center"/>
    </xf>
    <xf numFmtId="0" fontId="35" fillId="0" borderId="0" xfId="0" applyFont="1" applyAlignment="1">
      <alignment horizontal="left" vertical="top" wrapText="1"/>
    </xf>
    <xf numFmtId="0" fontId="35" fillId="0" borderId="0" xfId="0" applyFont="1" applyAlignment="1">
      <alignment horizontal="center" vertical="top" wrapText="1"/>
    </xf>
    <xf numFmtId="0" fontId="95" fillId="0" borderId="0" xfId="0" applyFont="1" applyAlignment="1" applyProtection="1">
      <alignment horizontal="left" vertical="center"/>
      <protection locked="0"/>
    </xf>
    <xf numFmtId="190" fontId="96" fillId="0" borderId="152" xfId="0" applyNumberFormat="1" applyFont="1" applyBorder="1" applyAlignment="1">
      <alignment horizontal="center" vertical="center"/>
    </xf>
    <xf numFmtId="190" fontId="96" fillId="0" borderId="3" xfId="0" applyNumberFormat="1" applyFont="1" applyBorder="1" applyAlignment="1">
      <alignment horizontal="center" vertical="center"/>
    </xf>
    <xf numFmtId="190" fontId="96" fillId="0" borderId="4" xfId="0" applyNumberFormat="1" applyFont="1" applyBorder="1" applyAlignment="1">
      <alignment horizontal="center" vertical="center"/>
    </xf>
    <xf numFmtId="190" fontId="96" fillId="0" borderId="153" xfId="0" applyNumberFormat="1" applyFont="1" applyBorder="1" applyAlignment="1">
      <alignment horizontal="center" vertical="center"/>
    </xf>
    <xf numFmtId="190" fontId="96" fillId="0" borderId="7" xfId="0" applyNumberFormat="1" applyFont="1" applyBorder="1" applyAlignment="1">
      <alignment horizontal="center" vertical="center"/>
    </xf>
    <xf numFmtId="190" fontId="96" fillId="0" borderId="8" xfId="0" applyNumberFormat="1" applyFont="1" applyBorder="1" applyAlignment="1">
      <alignment horizontal="center" vertical="center"/>
    </xf>
    <xf numFmtId="0" fontId="59" fillId="10" borderId="2" xfId="0" applyFont="1" applyFill="1" applyBorder="1" applyAlignment="1">
      <alignment horizontal="center" vertical="center" wrapText="1"/>
    </xf>
    <xf numFmtId="0" fontId="59" fillId="10" borderId="3" xfId="0" applyFont="1" applyFill="1" applyBorder="1" applyAlignment="1">
      <alignment horizontal="center" vertical="center"/>
    </xf>
    <xf numFmtId="0" fontId="59" fillId="10" borderId="4" xfId="0" applyFont="1" applyFill="1" applyBorder="1" applyAlignment="1">
      <alignment horizontal="center" vertical="center"/>
    </xf>
    <xf numFmtId="0" fontId="59" fillId="10" borderId="6" xfId="0" applyFont="1" applyFill="1" applyBorder="1" applyAlignment="1">
      <alignment horizontal="center" vertical="center"/>
    </xf>
    <xf numFmtId="0" fontId="59" fillId="10" borderId="7" xfId="0" applyFont="1" applyFill="1" applyBorder="1" applyAlignment="1">
      <alignment horizontal="center" vertical="center"/>
    </xf>
    <xf numFmtId="0" fontId="59" fillId="10" borderId="8" xfId="0" applyFont="1" applyFill="1" applyBorder="1" applyAlignment="1">
      <alignment horizontal="center" vertical="center"/>
    </xf>
    <xf numFmtId="0" fontId="59" fillId="10" borderId="152" xfId="0" applyFont="1" applyFill="1" applyBorder="1" applyAlignment="1">
      <alignment horizontal="center" vertical="center" wrapText="1"/>
    </xf>
    <xf numFmtId="0" fontId="59" fillId="10" borderId="153" xfId="0" applyFont="1" applyFill="1" applyBorder="1" applyAlignment="1">
      <alignment horizontal="center" vertical="center"/>
    </xf>
    <xf numFmtId="190" fontId="96" fillId="0" borderId="2" xfId="0" applyNumberFormat="1" applyFont="1" applyBorder="1" applyAlignment="1">
      <alignment horizontal="center" vertical="center"/>
    </xf>
    <xf numFmtId="190" fontId="96" fillId="0" borderId="6" xfId="0" applyNumberFormat="1" applyFont="1" applyBorder="1" applyAlignment="1">
      <alignment horizontal="center" vertic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0" fontId="43" fillId="0" borderId="4" xfId="0" applyFont="1" applyBorder="1" applyAlignment="1">
      <alignment horizontal="center"/>
    </xf>
    <xf numFmtId="0" fontId="43" fillId="0" borderId="8" xfId="0" applyFont="1" applyBorder="1" applyAlignment="1">
      <alignment horizontal="center"/>
    </xf>
    <xf numFmtId="38" fontId="52" fillId="0" borderId="2" xfId="4" applyFont="1" applyBorder="1" applyAlignment="1">
      <alignment horizontal="center" vertical="center"/>
    </xf>
    <xf numFmtId="38" fontId="52" fillId="0" borderId="3" xfId="4" applyFont="1" applyBorder="1" applyAlignment="1">
      <alignment horizontal="center" vertical="center"/>
    </xf>
    <xf numFmtId="38" fontId="52" fillId="0" borderId="6" xfId="4" applyFont="1" applyBorder="1" applyAlignment="1">
      <alignment horizontal="center" vertical="center"/>
    </xf>
    <xf numFmtId="38" fontId="52" fillId="0" borderId="7" xfId="4" applyFont="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xf>
    <xf numFmtId="0" fontId="35" fillId="3" borderId="1" xfId="0" applyFont="1" applyFill="1" applyBorder="1" applyAlignment="1">
      <alignment horizontal="center" vertical="center"/>
    </xf>
    <xf numFmtId="0" fontId="5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5" fillId="0" borderId="186" xfId="0" applyFont="1" applyBorder="1">
      <alignment vertical="center"/>
    </xf>
    <xf numFmtId="0" fontId="35" fillId="0" borderId="168" xfId="0" applyFont="1" applyBorder="1">
      <alignmen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43" fillId="0" borderId="0" xfId="0" applyFont="1">
      <alignment vertical="center"/>
    </xf>
    <xf numFmtId="0" fontId="35" fillId="0" borderId="0" xfId="0" applyFont="1" applyAlignment="1">
      <alignment horizontal="center" vertical="center"/>
    </xf>
    <xf numFmtId="0" fontId="35" fillId="0" borderId="0" xfId="0" applyFont="1" applyAlignment="1">
      <alignment vertical="center" wrapText="1"/>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10" borderId="15" xfId="0" applyFont="1" applyFill="1" applyBorder="1" applyAlignment="1">
      <alignment horizontal="center" vertical="center"/>
    </xf>
    <xf numFmtId="0" fontId="35" fillId="10" borderId="13" xfId="0" applyFont="1" applyFill="1" applyBorder="1" applyAlignment="1">
      <alignment horizontal="center" vertical="center"/>
    </xf>
    <xf numFmtId="0" fontId="35" fillId="10" borderId="16" xfId="0" applyFont="1" applyFill="1" applyBorder="1" applyAlignment="1">
      <alignment horizontal="center" vertical="center"/>
    </xf>
    <xf numFmtId="38" fontId="42" fillId="0" borderId="181" xfId="4" applyFont="1" applyBorder="1" applyAlignment="1">
      <alignment horizontal="right" vertical="center"/>
    </xf>
    <xf numFmtId="38" fontId="42" fillId="0" borderId="0" xfId="4" applyFont="1" applyBorder="1" applyAlignment="1">
      <alignment horizontal="right" vertical="center"/>
    </xf>
    <xf numFmtId="38" fontId="42" fillId="0" borderId="191" xfId="4" applyFont="1" applyBorder="1" applyAlignment="1">
      <alignment horizontal="right" vertical="center"/>
    </xf>
    <xf numFmtId="38" fontId="42" fillId="0" borderId="7" xfId="4" applyFont="1" applyBorder="1" applyAlignment="1">
      <alignment horizontal="right" vertical="center"/>
    </xf>
    <xf numFmtId="0" fontId="35" fillId="0" borderId="2" xfId="0" applyFont="1" applyBorder="1" applyAlignment="1">
      <alignment horizontal="center" vertical="center"/>
    </xf>
    <xf numFmtId="0" fontId="35" fillId="0" borderId="6" xfId="0" applyFont="1" applyBorder="1" applyAlignment="1">
      <alignment horizontal="center" vertical="center"/>
    </xf>
    <xf numFmtId="0" fontId="42" fillId="0" borderId="130" xfId="0" applyFont="1" applyBorder="1" applyAlignment="1">
      <alignment horizontal="center" vertical="center"/>
    </xf>
    <xf numFmtId="0" fontId="42" fillId="0" borderId="155" xfId="0" applyFont="1" applyBorder="1" applyAlignment="1">
      <alignment horizontal="center" vertical="center"/>
    </xf>
    <xf numFmtId="0" fontId="42" fillId="0" borderId="152" xfId="0" applyFont="1" applyBorder="1" applyAlignment="1">
      <alignment horizontal="center" vertical="center"/>
    </xf>
    <xf numFmtId="0" fontId="42" fillId="0" borderId="148" xfId="0" applyFont="1" applyBorder="1" applyAlignment="1">
      <alignment horizontal="center" vertical="center"/>
    </xf>
    <xf numFmtId="0" fontId="42" fillId="0" borderId="129" xfId="0" applyFont="1" applyBorder="1" applyAlignment="1">
      <alignment horizontal="center" vertical="center"/>
    </xf>
    <xf numFmtId="0" fontId="42" fillId="0" borderId="153" xfId="0" applyFont="1" applyBorder="1" applyAlignment="1">
      <alignment horizontal="center" vertical="center"/>
    </xf>
    <xf numFmtId="0" fontId="43" fillId="0" borderId="0" xfId="0" applyFont="1" applyAlignment="1">
      <alignment horizontal="left" vertical="center"/>
    </xf>
    <xf numFmtId="0" fontId="35" fillId="10" borderId="53" xfId="0" applyFont="1" applyFill="1" applyBorder="1" applyAlignment="1">
      <alignment horizontal="center" vertical="center"/>
    </xf>
    <xf numFmtId="192" fontId="42" fillId="0" borderId="2" xfId="4" applyNumberFormat="1" applyFont="1" applyBorder="1" applyAlignment="1">
      <alignment horizontal="right" vertical="center" shrinkToFit="1"/>
    </xf>
    <xf numFmtId="192" fontId="42" fillId="0" borderId="3" xfId="4" applyNumberFormat="1" applyFont="1" applyBorder="1" applyAlignment="1">
      <alignment horizontal="right" vertical="center" shrinkToFit="1"/>
    </xf>
    <xf numFmtId="192" fontId="42" fillId="0" borderId="6" xfId="4" applyNumberFormat="1" applyFont="1" applyBorder="1" applyAlignment="1">
      <alignment horizontal="right" vertical="center" shrinkToFit="1"/>
    </xf>
    <xf numFmtId="192" fontId="42" fillId="0" borderId="7" xfId="4" applyNumberFormat="1" applyFont="1" applyBorder="1" applyAlignment="1">
      <alignment horizontal="right" vertical="center" shrinkToFit="1"/>
    </xf>
    <xf numFmtId="0" fontId="42" fillId="13" borderId="130" xfId="0" applyFont="1" applyFill="1" applyBorder="1" applyAlignment="1" applyProtection="1">
      <alignment horizontal="center" vertical="center"/>
      <protection locked="0"/>
    </xf>
    <xf numFmtId="0" fontId="42" fillId="13" borderId="155" xfId="0" applyFont="1" applyFill="1" applyBorder="1" applyAlignment="1" applyProtection="1">
      <alignment horizontal="center" vertical="center"/>
      <protection locked="0"/>
    </xf>
    <xf numFmtId="0" fontId="42" fillId="13" borderId="152" xfId="0" applyFont="1" applyFill="1" applyBorder="1" applyAlignment="1" applyProtection="1">
      <alignment horizontal="center" vertical="center"/>
      <protection locked="0"/>
    </xf>
    <xf numFmtId="0" fontId="42" fillId="13" borderId="148" xfId="0" applyFont="1" applyFill="1" applyBorder="1" applyAlignment="1" applyProtection="1">
      <alignment horizontal="center" vertical="center"/>
      <protection locked="0"/>
    </xf>
    <xf numFmtId="0" fontId="42" fillId="13" borderId="129" xfId="0" applyFont="1" applyFill="1" applyBorder="1" applyAlignment="1" applyProtection="1">
      <alignment horizontal="center" vertical="center"/>
      <protection locked="0"/>
    </xf>
    <xf numFmtId="0" fontId="42" fillId="13" borderId="153" xfId="0" applyFont="1" applyFill="1" applyBorder="1" applyAlignment="1" applyProtection="1">
      <alignment horizontal="center" vertical="center"/>
      <protection locked="0"/>
    </xf>
    <xf numFmtId="38" fontId="42" fillId="13" borderId="52" xfId="4" applyFont="1" applyFill="1" applyBorder="1" applyAlignment="1" applyProtection="1">
      <alignment horizontal="right" vertical="center"/>
      <protection locked="0"/>
    </xf>
    <xf numFmtId="38" fontId="42" fillId="13" borderId="3" xfId="4" applyFont="1" applyFill="1" applyBorder="1" applyAlignment="1" applyProtection="1">
      <alignment horizontal="right" vertical="center"/>
      <protection locked="0"/>
    </xf>
    <xf numFmtId="38" fontId="42" fillId="13" borderId="191" xfId="4" applyFont="1" applyFill="1" applyBorder="1" applyAlignment="1" applyProtection="1">
      <alignment horizontal="right" vertical="center"/>
      <protection locked="0"/>
    </xf>
    <xf numFmtId="38" fontId="42" fillId="13" borderId="7" xfId="4" applyFont="1" applyFill="1" applyBorder="1" applyAlignment="1" applyProtection="1">
      <alignment horizontal="right" vertical="center"/>
      <protection locked="0"/>
    </xf>
    <xf numFmtId="192" fontId="42" fillId="13" borderId="2" xfId="4" applyNumberFormat="1" applyFont="1" applyFill="1" applyBorder="1" applyAlignment="1" applyProtection="1">
      <alignment horizontal="right" vertical="center" shrinkToFit="1"/>
      <protection locked="0"/>
    </xf>
    <xf numFmtId="192" fontId="42" fillId="13" borderId="3" xfId="4" applyNumberFormat="1" applyFont="1" applyFill="1" applyBorder="1" applyAlignment="1" applyProtection="1">
      <alignment horizontal="right" vertical="center" shrinkToFit="1"/>
      <protection locked="0"/>
    </xf>
    <xf numFmtId="192" fontId="42" fillId="13" borderId="6" xfId="4" applyNumberFormat="1" applyFont="1" applyFill="1" applyBorder="1" applyAlignment="1" applyProtection="1">
      <alignment horizontal="right" vertical="center" shrinkToFit="1"/>
      <protection locked="0"/>
    </xf>
    <xf numFmtId="192" fontId="42" fillId="13" borderId="7" xfId="4" applyNumberFormat="1" applyFont="1" applyFill="1" applyBorder="1" applyAlignment="1" applyProtection="1">
      <alignment horizontal="right" vertical="center" shrinkToFit="1"/>
      <protection locked="0"/>
    </xf>
    <xf numFmtId="0" fontId="58" fillId="0" borderId="0" xfId="0" applyFont="1" applyAlignment="1">
      <alignment horizontal="center" vertical="center"/>
    </xf>
    <xf numFmtId="0" fontId="73" fillId="0" borderId="0" xfId="0" applyFont="1" applyAlignment="1">
      <alignment vertical="center" shrinkToFit="1"/>
    </xf>
    <xf numFmtId="0" fontId="35" fillId="0" borderId="0" xfId="0" applyFont="1">
      <alignment vertical="center"/>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9" fillId="0" borderId="0" xfId="0" applyFont="1" applyAlignment="1">
      <alignment horizontal="center" vertical="center"/>
    </xf>
    <xf numFmtId="0" fontId="35" fillId="11" borderId="2" xfId="0" applyFont="1" applyFill="1" applyBorder="1" applyAlignment="1">
      <alignment horizontal="center" vertical="center"/>
    </xf>
    <xf numFmtId="0" fontId="35" fillId="11" borderId="3"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6" xfId="0" applyFont="1" applyFill="1" applyBorder="1" applyAlignment="1">
      <alignment horizontal="center" vertical="center"/>
    </xf>
    <xf numFmtId="0" fontId="35" fillId="11" borderId="7" xfId="0" applyFont="1" applyFill="1" applyBorder="1" applyAlignment="1">
      <alignment horizontal="center" vertical="center"/>
    </xf>
    <xf numFmtId="0" fontId="35" fillId="11" borderId="8" xfId="0" applyFont="1" applyFill="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37" fillId="9" borderId="2" xfId="0" applyFont="1" applyFill="1" applyBorder="1">
      <alignment vertical="center"/>
    </xf>
    <xf numFmtId="0" fontId="37" fillId="9" borderId="3" xfId="0" applyFont="1" applyFill="1" applyBorder="1">
      <alignment vertical="center"/>
    </xf>
    <xf numFmtId="0" fontId="37" fillId="9" borderId="6" xfId="0" applyFont="1" applyFill="1" applyBorder="1">
      <alignment vertical="center"/>
    </xf>
    <xf numFmtId="0" fontId="37" fillId="9" borderId="7" xfId="0" applyFont="1" applyFill="1" applyBorder="1">
      <alignment vertical="center"/>
    </xf>
    <xf numFmtId="0" fontId="60" fillId="9" borderId="3" xfId="0" applyFont="1" applyFill="1" applyBorder="1" applyAlignment="1">
      <alignment horizontal="center" vertical="center"/>
    </xf>
    <xf numFmtId="0" fontId="60" fillId="9" borderId="4" xfId="0" applyFont="1" applyFill="1" applyBorder="1" applyAlignment="1">
      <alignment horizontal="center" vertical="center"/>
    </xf>
    <xf numFmtId="0" fontId="60" fillId="9" borderId="7" xfId="0" applyFont="1" applyFill="1" applyBorder="1" applyAlignment="1">
      <alignment horizontal="center" vertical="center"/>
    </xf>
    <xf numFmtId="0" fontId="60" fillId="9" borderId="8" xfId="0" applyFont="1" applyFill="1" applyBorder="1" applyAlignment="1">
      <alignment horizontal="center" vertical="center"/>
    </xf>
    <xf numFmtId="0" fontId="37" fillId="9" borderId="4" xfId="0" applyFont="1" applyFill="1" applyBorder="1">
      <alignment vertical="center"/>
    </xf>
    <xf numFmtId="0" fontId="37" fillId="9" borderId="8" xfId="0" applyFont="1" applyFill="1" applyBorder="1">
      <alignment vertical="center"/>
    </xf>
    <xf numFmtId="0" fontId="44" fillId="0" borderId="7" xfId="0" applyFont="1" applyBorder="1" applyAlignment="1">
      <alignment horizontal="center" vertical="center" shrinkToFit="1"/>
    </xf>
    <xf numFmtId="0" fontId="63"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42" fillId="0" borderId="0" xfId="0" applyFont="1" applyAlignment="1">
      <alignment horizontal="center"/>
    </xf>
    <xf numFmtId="0" fontId="42" fillId="0" borderId="7" xfId="0" applyFont="1" applyBorder="1" applyAlignment="1">
      <alignment horizontal="center"/>
    </xf>
    <xf numFmtId="0" fontId="35" fillId="0" borderId="7" xfId="0" applyFont="1" applyBorder="1" applyAlignment="1">
      <alignment horizontal="center"/>
    </xf>
    <xf numFmtId="0" fontId="36" fillId="0" borderId="0" xfId="0" applyFont="1">
      <alignment vertical="center"/>
    </xf>
    <xf numFmtId="0" fontId="35" fillId="11" borderId="2" xfId="0" applyFont="1" applyFill="1" applyBorder="1" applyAlignment="1">
      <alignment horizontal="center" vertical="center" wrapText="1"/>
    </xf>
    <xf numFmtId="38" fontId="46" fillId="0" borderId="2" xfId="4" applyFont="1" applyBorder="1" applyAlignment="1">
      <alignment horizontal="center" vertical="center"/>
    </xf>
    <xf numFmtId="38" fontId="46" fillId="0" borderId="3" xfId="4" applyFont="1" applyBorder="1" applyAlignment="1">
      <alignment horizontal="center" vertical="center"/>
    </xf>
    <xf numFmtId="38" fontId="46" fillId="0" borderId="6" xfId="4" applyFont="1" applyBorder="1" applyAlignment="1">
      <alignment horizontal="center" vertical="center"/>
    </xf>
    <xf numFmtId="38" fontId="46" fillId="0" borderId="7" xfId="4" applyFont="1" applyBorder="1" applyAlignment="1">
      <alignment horizontal="center" vertical="center"/>
    </xf>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7" xfId="0" applyFont="1" applyFill="1" applyBorder="1" applyAlignment="1">
      <alignment horizontal="center" vertical="center"/>
    </xf>
    <xf numFmtId="0" fontId="43" fillId="11"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38" fontId="35" fillId="10" borderId="53" xfId="4" applyFont="1" applyFill="1" applyBorder="1" applyAlignment="1">
      <alignment horizontal="center" vertical="center"/>
    </xf>
    <xf numFmtId="38" fontId="35" fillId="10" borderId="13" xfId="4" applyFont="1" applyFill="1" applyBorder="1" applyAlignment="1">
      <alignment horizontal="center" vertical="center"/>
    </xf>
    <xf numFmtId="38" fontId="35" fillId="10" borderId="16" xfId="4" applyFont="1" applyFill="1" applyBorder="1" applyAlignment="1">
      <alignment horizontal="center" vertical="center"/>
    </xf>
    <xf numFmtId="38" fontId="35" fillId="10" borderId="15" xfId="4" applyFont="1" applyFill="1" applyBorder="1" applyAlignment="1">
      <alignment horizontal="center" vertical="center"/>
    </xf>
    <xf numFmtId="189" fontId="42" fillId="0" borderId="2" xfId="1" applyNumberFormat="1" applyFont="1" applyBorder="1" applyAlignment="1">
      <alignment horizontal="center" vertical="center"/>
    </xf>
    <xf numFmtId="189" fontId="42" fillId="0" borderId="3" xfId="1" applyNumberFormat="1" applyFont="1" applyBorder="1" applyAlignment="1">
      <alignment horizontal="center" vertical="center"/>
    </xf>
    <xf numFmtId="189" fontId="42" fillId="0" borderId="4" xfId="1" applyNumberFormat="1" applyFont="1" applyBorder="1" applyAlignment="1">
      <alignment horizontal="center" vertical="center"/>
    </xf>
    <xf numFmtId="189" fontId="42" fillId="0" borderId="6" xfId="1" applyNumberFormat="1" applyFont="1" applyBorder="1" applyAlignment="1">
      <alignment horizontal="center" vertical="center"/>
    </xf>
    <xf numFmtId="189" fontId="42" fillId="0" borderId="7" xfId="1" applyNumberFormat="1" applyFont="1" applyBorder="1" applyAlignment="1">
      <alignment horizontal="center" vertical="center"/>
    </xf>
    <xf numFmtId="189" fontId="42" fillId="0" borderId="8" xfId="1" applyNumberFormat="1" applyFont="1" applyBorder="1" applyAlignment="1">
      <alignment horizontal="center" vertical="center"/>
    </xf>
    <xf numFmtId="189" fontId="42" fillId="0" borderId="52" xfId="1" applyNumberFormat="1" applyFont="1" applyBorder="1" applyAlignment="1">
      <alignment horizontal="center" vertical="center"/>
    </xf>
    <xf numFmtId="189" fontId="42" fillId="0" borderId="191" xfId="1" applyNumberFormat="1" applyFont="1" applyBorder="1" applyAlignment="1">
      <alignment horizontal="center" vertical="center"/>
    </xf>
    <xf numFmtId="0" fontId="45" fillId="0" borderId="2" xfId="18" applyNumberFormat="1" applyFont="1" applyBorder="1" applyAlignment="1">
      <alignment horizontal="center" vertical="center"/>
    </xf>
    <xf numFmtId="0" fontId="45" fillId="0" borderId="3" xfId="18" applyNumberFormat="1" applyFont="1" applyBorder="1" applyAlignment="1">
      <alignment horizontal="center" vertical="center"/>
    </xf>
    <xf numFmtId="0" fontId="45" fillId="0" borderId="6" xfId="18" applyNumberFormat="1" applyFont="1" applyBorder="1" applyAlignment="1">
      <alignment horizontal="center" vertical="center"/>
    </xf>
    <xf numFmtId="0" fontId="45" fillId="0" borderId="7" xfId="18" applyNumberFormat="1" applyFont="1" applyBorder="1" applyAlignment="1">
      <alignment horizontal="center"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58" fillId="10" borderId="150" xfId="0" applyFont="1" applyFill="1" applyBorder="1" applyAlignment="1">
      <alignment horizontal="center" vertical="center"/>
    </xf>
    <xf numFmtId="0" fontId="58" fillId="10" borderId="157" xfId="0" applyFont="1" applyFill="1" applyBorder="1" applyAlignment="1">
      <alignment horizontal="center" vertical="center"/>
    </xf>
    <xf numFmtId="0" fontId="58" fillId="10" borderId="180" xfId="0" applyFont="1" applyFill="1" applyBorder="1" applyAlignment="1">
      <alignment horizontal="center" vertical="center"/>
    </xf>
    <xf numFmtId="0" fontId="59" fillId="10" borderId="131" xfId="0" applyFont="1" applyFill="1" applyBorder="1" applyAlignment="1">
      <alignment horizontal="center" vertical="center" wrapText="1"/>
    </xf>
    <xf numFmtId="0" fontId="59" fillId="10" borderId="136" xfId="0" applyFont="1" applyFill="1" applyBorder="1" applyAlignment="1">
      <alignment horizontal="center" vertical="center" wrapText="1"/>
    </xf>
    <xf numFmtId="0" fontId="59" fillId="10" borderId="137" xfId="0" applyFont="1" applyFill="1" applyBorder="1" applyAlignment="1">
      <alignment horizontal="center" vertical="center" wrapText="1"/>
    </xf>
    <xf numFmtId="0" fontId="59" fillId="10" borderId="6" xfId="0" applyFont="1" applyFill="1" applyBorder="1" applyAlignment="1">
      <alignment horizontal="center" vertical="center" wrapText="1"/>
    </xf>
    <xf numFmtId="0" fontId="59" fillId="10" borderId="7" xfId="0" applyFont="1" applyFill="1" applyBorder="1" applyAlignment="1">
      <alignment horizontal="center" vertical="center" wrapText="1"/>
    </xf>
    <xf numFmtId="0" fontId="59" fillId="10" borderId="8" xfId="0" applyFont="1" applyFill="1" applyBorder="1" applyAlignment="1">
      <alignment horizontal="center" vertical="center" wrapText="1"/>
    </xf>
    <xf numFmtId="0" fontId="41" fillId="0" borderId="61" xfId="0" applyFont="1" applyBorder="1" applyAlignment="1">
      <alignment horizontal="center" vertical="center"/>
    </xf>
    <xf numFmtId="0" fontId="41" fillId="0" borderId="71" xfId="0" applyFont="1" applyBorder="1" applyAlignment="1">
      <alignment horizontal="center" vertical="center"/>
    </xf>
    <xf numFmtId="0" fontId="35" fillId="10" borderId="149" xfId="0" applyFont="1" applyFill="1" applyBorder="1" applyAlignment="1">
      <alignment horizontal="center" vertical="center"/>
    </xf>
    <xf numFmtId="0" fontId="35" fillId="10" borderId="156" xfId="0" applyFont="1" applyFill="1" applyBorder="1" applyAlignment="1">
      <alignment horizontal="center" vertical="center"/>
    </xf>
    <xf numFmtId="0" fontId="35" fillId="10" borderId="179" xfId="0" applyFont="1" applyFill="1" applyBorder="1" applyAlignment="1">
      <alignment horizontal="center" vertical="center"/>
    </xf>
    <xf numFmtId="0" fontId="48" fillId="0" borderId="70" xfId="0" applyFont="1" applyBorder="1" applyAlignment="1">
      <alignment horizontal="center" vertical="center"/>
    </xf>
    <xf numFmtId="0" fontId="48" fillId="0" borderId="61" xfId="0" applyFont="1" applyBorder="1" applyAlignment="1">
      <alignment horizontal="center" vertical="center"/>
    </xf>
    <xf numFmtId="0" fontId="35" fillId="0" borderId="61" xfId="0" applyFont="1" applyBorder="1" applyAlignment="1">
      <alignment horizontal="center" vertical="center"/>
    </xf>
    <xf numFmtId="0" fontId="48" fillId="0" borderId="126" xfId="0" applyFont="1" applyBorder="1" applyAlignment="1">
      <alignment horizontal="center" vertical="center"/>
    </xf>
    <xf numFmtId="0" fontId="48" fillId="0" borderId="128" xfId="0" applyFont="1" applyBorder="1" applyAlignment="1">
      <alignment horizontal="center" vertical="center"/>
    </xf>
    <xf numFmtId="0" fontId="41" fillId="0" borderId="128" xfId="0" applyFont="1" applyBorder="1" applyAlignment="1">
      <alignment horizontal="center" vertical="center"/>
    </xf>
    <xf numFmtId="0" fontId="41" fillId="0" borderId="160" xfId="0" applyFont="1" applyBorder="1" applyAlignment="1">
      <alignment horizontal="center" vertical="center"/>
    </xf>
    <xf numFmtId="0" fontId="88" fillId="9" borderId="2" xfId="0" applyFont="1" applyFill="1" applyBorder="1" applyAlignment="1">
      <alignment horizontal="left" vertical="center"/>
    </xf>
    <xf numFmtId="0" fontId="88" fillId="9" borderId="3" xfId="0" applyFont="1" applyFill="1" applyBorder="1" applyAlignment="1">
      <alignment horizontal="left" vertical="center"/>
    </xf>
    <xf numFmtId="0" fontId="88" fillId="9" borderId="6" xfId="0" applyFont="1" applyFill="1" applyBorder="1" applyAlignment="1">
      <alignment horizontal="left" vertical="center"/>
    </xf>
    <xf numFmtId="0" fontId="88" fillId="9" borderId="7" xfId="0" applyFont="1" applyFill="1" applyBorder="1" applyAlignment="1">
      <alignment horizontal="left" vertical="center"/>
    </xf>
    <xf numFmtId="0" fontId="51" fillId="3" borderId="2" xfId="0" applyFont="1" applyFill="1" applyBorder="1">
      <alignment vertical="center"/>
    </xf>
    <xf numFmtId="0" fontId="51" fillId="3" borderId="3" xfId="0" applyFont="1" applyFill="1" applyBorder="1">
      <alignment vertical="center"/>
    </xf>
    <xf numFmtId="0" fontId="51" fillId="3" borderId="6" xfId="0" applyFont="1" applyFill="1" applyBorder="1">
      <alignment vertical="center"/>
    </xf>
    <xf numFmtId="0" fontId="51" fillId="3" borderId="7" xfId="0" applyFont="1" applyFill="1" applyBorder="1">
      <alignment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38" fontId="45" fillId="0" borderId="2" xfId="4" applyFont="1" applyBorder="1" applyAlignment="1">
      <alignment horizontal="center" vertical="center"/>
    </xf>
    <xf numFmtId="38" fontId="45" fillId="0" borderId="3" xfId="4" applyFont="1" applyBorder="1" applyAlignment="1">
      <alignment horizontal="center" vertical="center"/>
    </xf>
    <xf numFmtId="38" fontId="45" fillId="0" borderId="6" xfId="4" applyFont="1" applyBorder="1" applyAlignment="1">
      <alignment horizontal="center" vertical="center"/>
    </xf>
    <xf numFmtId="38" fontId="45" fillId="0" borderId="7" xfId="4"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0" borderId="176" xfId="0" applyFont="1" applyBorder="1">
      <alignment vertical="center"/>
    </xf>
    <xf numFmtId="0" fontId="35" fillId="0" borderId="146" xfId="0" applyFont="1" applyBorder="1">
      <alignment vertical="center"/>
    </xf>
    <xf numFmtId="0" fontId="35" fillId="0" borderId="164" xfId="0" applyFont="1" applyBorder="1">
      <alignment vertical="center"/>
    </xf>
    <xf numFmtId="0" fontId="35" fillId="0" borderId="13" xfId="0" applyFont="1" applyBorder="1">
      <alignment vertical="center"/>
    </xf>
    <xf numFmtId="0" fontId="35" fillId="0" borderId="188" xfId="0" applyFont="1" applyBorder="1">
      <alignment vertical="center"/>
    </xf>
    <xf numFmtId="0" fontId="35" fillId="0" borderId="169" xfId="0" applyFont="1" applyBorder="1">
      <alignment vertical="center"/>
    </xf>
    <xf numFmtId="0" fontId="35" fillId="0" borderId="189" xfId="0" applyFont="1" applyBorder="1">
      <alignment vertical="center"/>
    </xf>
    <xf numFmtId="0" fontId="35" fillId="0" borderId="154" xfId="0" applyFont="1" applyBorder="1">
      <alignment vertical="center"/>
    </xf>
    <xf numFmtId="0" fontId="35" fillId="0" borderId="177" xfId="0" applyFont="1" applyBorder="1">
      <alignment vertical="center"/>
    </xf>
    <xf numFmtId="0" fontId="35" fillId="0" borderId="190" xfId="0" applyFont="1" applyBorder="1">
      <alignment vertical="center"/>
    </xf>
    <xf numFmtId="0" fontId="35" fillId="0" borderId="158" xfId="0" applyFont="1" applyBorder="1">
      <alignment vertical="center"/>
    </xf>
    <xf numFmtId="0" fontId="35" fillId="0" borderId="187" xfId="0" applyFont="1" applyBorder="1">
      <alignment vertical="center"/>
    </xf>
    <xf numFmtId="0" fontId="35" fillId="0" borderId="16" xfId="0" applyFont="1" applyBorder="1">
      <alignment vertical="center"/>
    </xf>
    <xf numFmtId="0" fontId="54" fillId="0" borderId="67" xfId="0" applyFont="1" applyBorder="1" applyAlignment="1">
      <alignment horizontal="center" vertical="center"/>
    </xf>
    <xf numFmtId="0" fontId="54" fillId="0" borderId="68" xfId="0" applyFont="1" applyBorder="1" applyAlignment="1">
      <alignment horizontal="center"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70" xfId="0" applyFont="1" applyBorder="1" applyAlignment="1">
      <alignment horizontal="center" vertical="center"/>
    </xf>
    <xf numFmtId="0" fontId="54" fillId="0" borderId="61" xfId="0" applyFont="1" applyBorder="1" applyAlignment="1">
      <alignment horizontal="center" vertical="center"/>
    </xf>
    <xf numFmtId="0" fontId="35" fillId="0" borderId="178" xfId="0" applyFont="1" applyBorder="1">
      <alignment vertical="center"/>
    </xf>
    <xf numFmtId="0" fontId="54" fillId="0" borderId="126" xfId="0" applyFont="1" applyBorder="1" applyAlignment="1">
      <alignment horizontal="center" vertical="center"/>
    </xf>
    <xf numFmtId="0" fontId="54" fillId="0" borderId="128" xfId="0" applyFont="1" applyBorder="1" applyAlignment="1">
      <alignment horizontal="center" vertical="center"/>
    </xf>
    <xf numFmtId="0" fontId="53" fillId="0" borderId="149" xfId="0" applyFont="1" applyBorder="1" applyAlignment="1">
      <alignment horizontal="center" vertical="center"/>
    </xf>
    <xf numFmtId="0" fontId="53" fillId="0" borderId="156" xfId="0" applyFont="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50">
    <dxf>
      <font>
        <condense val="0"/>
        <extend val="0"/>
        <color indexed="23"/>
      </font>
    </dxf>
    <dxf>
      <font>
        <condense val="0"/>
        <extend val="0"/>
        <color indexed="48"/>
      </font>
    </dxf>
    <dxf>
      <font>
        <condense val="0"/>
        <extend val="0"/>
        <color indexed="11"/>
      </font>
    </dxf>
    <dxf>
      <font>
        <color auto="1"/>
      </font>
      <fill>
        <patternFill>
          <bgColor theme="0"/>
        </patternFill>
      </fill>
      <border>
        <left style="hair">
          <color auto="1"/>
        </left>
        <right style="hair">
          <color auto="1"/>
        </right>
        <top style="hair">
          <color auto="1"/>
        </top>
        <bottom style="hair">
          <color auto="1"/>
        </bottom>
        <vertical/>
        <horizontal/>
      </border>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2"/>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333375</xdr:colOff>
          <xdr:row>8</xdr:row>
          <xdr:rowOff>228600</xdr:rowOff>
        </xdr:from>
        <xdr:to>
          <xdr:col>43</xdr:col>
          <xdr:colOff>333375</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12700</xdr:colOff>
      <xdr:row>53</xdr:row>
      <xdr:rowOff>222250</xdr:rowOff>
    </xdr:from>
    <xdr:to>
      <xdr:col>11</xdr:col>
      <xdr:colOff>107950</xdr:colOff>
      <xdr:row>53</xdr:row>
      <xdr:rowOff>222250</xdr:rowOff>
    </xdr:to>
    <xdr:cxnSp macro="">
      <xdr:nvCxnSpPr>
        <xdr:cNvPr id="2" name="直線コネクタ 1">
          <a:extLst>
            <a:ext uri="{FF2B5EF4-FFF2-40B4-BE49-F238E27FC236}">
              <a16:creationId xmlns:a16="http://schemas.microsoft.com/office/drawing/2014/main" id="{00000000-0008-0000-0700-000004000000}"/>
            </a:ext>
          </a:extLst>
        </xdr:cNvPr>
        <xdr:cNvCxnSpPr/>
      </xdr:nvCxnSpPr>
      <xdr:spPr>
        <a:xfrm>
          <a:off x="381000" y="11817350"/>
          <a:ext cx="3765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44</xdr:row>
      <xdr:rowOff>0</xdr:rowOff>
    </xdr:from>
    <xdr:to>
      <xdr:col>35</xdr:col>
      <xdr:colOff>0</xdr:colOff>
      <xdr:row>60</xdr:row>
      <xdr:rowOff>0</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64353" y="7761941"/>
          <a:ext cx="6058647" cy="2816412"/>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SheetLayoutView="100" workbookViewId="0">
      <selection activeCell="X8" sqref="X8:AI9"/>
    </sheetView>
  </sheetViews>
  <sheetFormatPr defaultColWidth="9" defaultRowHeight="16.5" customHeight="1"/>
  <cols>
    <col min="1" max="1" width="2.375" style="89" customWidth="1"/>
    <col min="2" max="2" width="0.5" style="89" customWidth="1"/>
    <col min="3" max="3" width="1.125" style="89" customWidth="1"/>
    <col min="4" max="15" width="2.375" style="89" customWidth="1"/>
    <col min="16" max="16" width="1.125" style="89" customWidth="1"/>
    <col min="17" max="37" width="2.375" style="89" customWidth="1"/>
    <col min="38" max="38" width="0.625" style="89" customWidth="1"/>
    <col min="39" max="45" width="2.375" style="89" customWidth="1"/>
    <col min="46" max="47" width="9" style="89"/>
    <col min="48" max="48" width="9" style="89" hidden="1" customWidth="1"/>
    <col min="49" max="16384" width="9" style="89"/>
  </cols>
  <sheetData>
    <row r="1" spans="1:48" ht="16.5" customHeight="1">
      <c r="A1" s="89" t="s">
        <v>360</v>
      </c>
    </row>
    <row r="2" spans="1:48" ht="3.75" customHeight="1">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2"/>
    </row>
    <row r="3" spans="1:48" ht="16.5" customHeight="1">
      <c r="B3" s="93"/>
      <c r="D3" s="94"/>
      <c r="E3" s="94"/>
      <c r="F3" s="94"/>
      <c r="G3" s="94"/>
      <c r="H3" s="94"/>
      <c r="I3" s="94"/>
      <c r="J3" s="94"/>
      <c r="K3" s="94"/>
      <c r="L3" s="94"/>
      <c r="M3" s="94"/>
      <c r="N3" s="94"/>
      <c r="O3" s="94"/>
      <c r="P3" s="94"/>
      <c r="Q3" s="94"/>
      <c r="R3" s="94"/>
      <c r="S3" s="94"/>
      <c r="T3" s="94"/>
      <c r="U3" s="94"/>
      <c r="V3" s="94"/>
      <c r="W3" s="94"/>
      <c r="X3" s="94"/>
      <c r="Y3" s="94"/>
      <c r="Z3" s="94"/>
      <c r="AA3" s="617">
        <v>2026</v>
      </c>
      <c r="AB3" s="617"/>
      <c r="AC3" s="617"/>
      <c r="AD3" s="89" t="s">
        <v>361</v>
      </c>
      <c r="AE3" s="617"/>
      <c r="AF3" s="618"/>
      <c r="AG3" s="89" t="s">
        <v>362</v>
      </c>
      <c r="AH3" s="617"/>
      <c r="AI3" s="617"/>
      <c r="AJ3" s="89" t="s">
        <v>363</v>
      </c>
      <c r="AK3" s="94"/>
      <c r="AL3" s="95"/>
    </row>
    <row r="4" spans="1:48" ht="16.5" customHeight="1">
      <c r="B4" s="93"/>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5"/>
    </row>
    <row r="5" spans="1:48" ht="16.5" customHeight="1">
      <c r="B5" s="93"/>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5"/>
    </row>
    <row r="6" spans="1:48" ht="16.5" customHeight="1">
      <c r="B6" s="93"/>
      <c r="E6" s="96" t="s">
        <v>364</v>
      </c>
      <c r="AL6" s="95"/>
    </row>
    <row r="7" spans="1:48" ht="16.5" customHeight="1">
      <c r="B7" s="93"/>
      <c r="D7" s="94"/>
      <c r="E7" s="94"/>
      <c r="F7" s="94"/>
      <c r="G7" s="94"/>
      <c r="H7" s="94"/>
      <c r="I7" s="94"/>
      <c r="J7" s="94"/>
      <c r="K7" s="94"/>
      <c r="L7" s="94"/>
      <c r="M7" s="94"/>
      <c r="N7" s="94"/>
      <c r="O7" s="94"/>
      <c r="P7" s="94"/>
      <c r="Q7" s="94"/>
      <c r="R7" s="94"/>
      <c r="S7" s="94"/>
      <c r="T7" s="619" t="s">
        <v>25</v>
      </c>
      <c r="U7" s="619"/>
      <c r="V7" s="619"/>
      <c r="W7" s="619"/>
      <c r="X7" s="619"/>
      <c r="Y7" s="619"/>
      <c r="Z7" s="619"/>
      <c r="AA7" s="619"/>
      <c r="AB7" s="619"/>
      <c r="AC7" s="619"/>
      <c r="AD7" s="619"/>
      <c r="AE7" s="619"/>
      <c r="AF7" s="619"/>
      <c r="AG7" s="619"/>
      <c r="AH7" s="619"/>
      <c r="AI7" s="619"/>
      <c r="AJ7" s="94"/>
      <c r="AK7" s="94"/>
      <c r="AL7" s="95"/>
      <c r="AV7" s="89" t="s">
        <v>25</v>
      </c>
    </row>
    <row r="8" spans="1:48" ht="16.5" customHeight="1">
      <c r="B8" s="93"/>
      <c r="T8" s="615" t="s">
        <v>365</v>
      </c>
      <c r="U8" s="616"/>
      <c r="V8" s="616"/>
      <c r="W8" s="616"/>
      <c r="X8" s="614"/>
      <c r="Y8" s="614"/>
      <c r="Z8" s="614"/>
      <c r="AA8" s="614"/>
      <c r="AB8" s="614"/>
      <c r="AC8" s="614"/>
      <c r="AD8" s="614"/>
      <c r="AE8" s="614"/>
      <c r="AF8" s="614"/>
      <c r="AG8" s="614"/>
      <c r="AH8" s="614"/>
      <c r="AI8" s="614"/>
      <c r="AL8" s="95"/>
      <c r="AV8" s="89" t="s">
        <v>26</v>
      </c>
    </row>
    <row r="9" spans="1:48" ht="16.5" customHeight="1">
      <c r="B9" s="93"/>
      <c r="T9" s="616"/>
      <c r="U9" s="616"/>
      <c r="V9" s="616"/>
      <c r="W9" s="616"/>
      <c r="X9" s="614"/>
      <c r="Y9" s="614"/>
      <c r="Z9" s="614"/>
      <c r="AA9" s="614"/>
      <c r="AB9" s="614"/>
      <c r="AC9" s="614"/>
      <c r="AD9" s="614"/>
      <c r="AE9" s="614"/>
      <c r="AF9" s="614"/>
      <c r="AG9" s="614"/>
      <c r="AH9" s="614"/>
      <c r="AI9" s="614"/>
      <c r="AL9" s="95"/>
    </row>
    <row r="10" spans="1:48" ht="16.5" customHeight="1">
      <c r="B10" s="93"/>
      <c r="X10" s="614"/>
      <c r="Y10" s="614"/>
      <c r="Z10" s="614"/>
      <c r="AA10" s="614"/>
      <c r="AB10" s="614"/>
      <c r="AC10" s="614"/>
      <c r="AD10" s="614"/>
      <c r="AE10" s="614"/>
      <c r="AF10" s="614"/>
      <c r="AG10" s="614"/>
      <c r="AH10" s="614"/>
      <c r="AI10" s="614"/>
      <c r="AL10" s="95"/>
    </row>
    <row r="11" spans="1:48" ht="16.5" customHeight="1">
      <c r="B11" s="93"/>
      <c r="T11" s="615" t="s">
        <v>366</v>
      </c>
      <c r="U11" s="615"/>
      <c r="V11" s="615"/>
      <c r="W11" s="615"/>
      <c r="X11" s="614"/>
      <c r="Y11" s="614"/>
      <c r="Z11" s="614"/>
      <c r="AA11" s="614"/>
      <c r="AB11" s="614"/>
      <c r="AC11" s="614"/>
      <c r="AD11" s="614"/>
      <c r="AE11" s="614"/>
      <c r="AF11" s="614"/>
      <c r="AG11" s="614"/>
      <c r="AH11" s="614"/>
      <c r="AI11" s="614"/>
      <c r="AJ11" s="97"/>
      <c r="AL11" s="95"/>
    </row>
    <row r="12" spans="1:48" ht="16.5" customHeight="1">
      <c r="B12" s="93"/>
      <c r="T12" s="98"/>
      <c r="U12" s="98"/>
      <c r="V12" s="98"/>
      <c r="W12" s="98"/>
      <c r="X12" s="614"/>
      <c r="Y12" s="614"/>
      <c r="Z12" s="614"/>
      <c r="AA12" s="614"/>
      <c r="AB12" s="614"/>
      <c r="AC12" s="614"/>
      <c r="AD12" s="614"/>
      <c r="AE12" s="614"/>
      <c r="AF12" s="614"/>
      <c r="AG12" s="614"/>
      <c r="AH12" s="614"/>
      <c r="AI12" s="614"/>
      <c r="AJ12" s="97" t="s">
        <v>367</v>
      </c>
      <c r="AL12" s="95"/>
    </row>
    <row r="13" spans="1:48" ht="16.5" customHeight="1">
      <c r="B13" s="93"/>
      <c r="X13" s="614"/>
      <c r="Y13" s="614"/>
      <c r="Z13" s="614"/>
      <c r="AA13" s="614"/>
      <c r="AB13" s="614"/>
      <c r="AC13" s="614"/>
      <c r="AD13" s="614"/>
      <c r="AE13" s="614"/>
      <c r="AF13" s="614"/>
      <c r="AG13" s="614"/>
      <c r="AH13" s="614"/>
      <c r="AI13" s="614"/>
      <c r="AL13" s="95"/>
    </row>
    <row r="14" spans="1:48" ht="16.5" customHeight="1">
      <c r="B14" s="93"/>
      <c r="V14" s="613" t="s">
        <v>368</v>
      </c>
      <c r="W14" s="613"/>
      <c r="X14" s="613"/>
      <c r="Y14" s="613"/>
      <c r="Z14" s="613"/>
      <c r="AA14" s="613"/>
      <c r="AB14" s="613"/>
      <c r="AC14" s="613"/>
      <c r="AD14" s="613"/>
      <c r="AE14" s="613"/>
      <c r="AF14" s="613"/>
      <c r="AG14" s="613"/>
      <c r="AH14" s="613"/>
      <c r="AI14" s="613"/>
      <c r="AJ14" s="613"/>
      <c r="AL14" s="95"/>
    </row>
    <row r="15" spans="1:48" ht="16.5" customHeight="1">
      <c r="B15" s="93"/>
      <c r="V15" s="613"/>
      <c r="W15" s="613"/>
      <c r="X15" s="613"/>
      <c r="Y15" s="613"/>
      <c r="Z15" s="613"/>
      <c r="AA15" s="613"/>
      <c r="AB15" s="613"/>
      <c r="AC15" s="613"/>
      <c r="AD15" s="613"/>
      <c r="AE15" s="613"/>
      <c r="AF15" s="613"/>
      <c r="AG15" s="613"/>
      <c r="AH15" s="613"/>
      <c r="AI15" s="613"/>
      <c r="AJ15" s="613"/>
      <c r="AL15" s="95"/>
    </row>
    <row r="16" spans="1:48" ht="16.5" customHeight="1">
      <c r="B16" s="93"/>
      <c r="AL16" s="95"/>
    </row>
    <row r="17" spans="2:38" ht="16.5" customHeight="1">
      <c r="B17" s="93"/>
      <c r="AL17" s="95"/>
    </row>
    <row r="18" spans="2:38" ht="16.5" customHeight="1">
      <c r="B18" s="93"/>
      <c r="C18" s="645" t="s">
        <v>369</v>
      </c>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95"/>
    </row>
    <row r="19" spans="2:38" ht="16.5" customHeight="1">
      <c r="B19" s="93"/>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95"/>
    </row>
    <row r="20" spans="2:38" ht="16.5" customHeight="1">
      <c r="B20" s="93"/>
      <c r="AL20" s="95"/>
    </row>
    <row r="21" spans="2:38" ht="16.5" customHeight="1">
      <c r="B21" s="93"/>
      <c r="AL21" s="95"/>
    </row>
    <row r="22" spans="2:38" ht="16.5" customHeight="1">
      <c r="B22" s="93"/>
      <c r="D22" s="640" t="s">
        <v>370</v>
      </c>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95"/>
    </row>
    <row r="23" spans="2:38" ht="16.5" customHeight="1">
      <c r="B23" s="93"/>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95"/>
    </row>
    <row r="24" spans="2:38" ht="16.5" customHeight="1">
      <c r="B24" s="93"/>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640"/>
      <c r="AK24" s="640"/>
      <c r="AL24" s="95"/>
    </row>
    <row r="25" spans="2:38" ht="16.5" customHeight="1">
      <c r="B25" s="93"/>
      <c r="C25" s="90"/>
      <c r="D25" s="624" t="s">
        <v>371</v>
      </c>
      <c r="E25" s="624"/>
      <c r="F25" s="624"/>
      <c r="G25" s="624"/>
      <c r="H25" s="624"/>
      <c r="I25" s="624"/>
      <c r="J25" s="624"/>
      <c r="K25" s="624"/>
      <c r="L25" s="624"/>
      <c r="M25" s="624"/>
      <c r="N25" s="624"/>
      <c r="O25" s="624"/>
      <c r="P25" s="92"/>
      <c r="Q25" s="629"/>
      <c r="R25" s="630"/>
      <c r="S25" s="630"/>
      <c r="T25" s="630"/>
      <c r="U25" s="630"/>
      <c r="V25" s="630"/>
      <c r="W25" s="630"/>
      <c r="X25" s="630"/>
      <c r="Y25" s="630"/>
      <c r="Z25" s="630"/>
      <c r="AA25" s="630"/>
      <c r="AB25" s="630"/>
      <c r="AC25" s="630"/>
      <c r="AD25" s="630"/>
      <c r="AE25" s="630"/>
      <c r="AF25" s="630"/>
      <c r="AG25" s="630"/>
      <c r="AH25" s="630"/>
      <c r="AI25" s="630"/>
      <c r="AJ25" s="630"/>
      <c r="AK25" s="631"/>
      <c r="AL25" s="95"/>
    </row>
    <row r="26" spans="2:38" ht="16.5" customHeight="1">
      <c r="B26" s="93"/>
      <c r="C26" s="99"/>
      <c r="D26" s="625"/>
      <c r="E26" s="625"/>
      <c r="F26" s="625"/>
      <c r="G26" s="625"/>
      <c r="H26" s="625"/>
      <c r="I26" s="625"/>
      <c r="J26" s="625"/>
      <c r="K26" s="625"/>
      <c r="L26" s="625"/>
      <c r="M26" s="625"/>
      <c r="N26" s="625"/>
      <c r="O26" s="625"/>
      <c r="P26" s="100"/>
      <c r="Q26" s="648"/>
      <c r="R26" s="649"/>
      <c r="S26" s="649"/>
      <c r="T26" s="649"/>
      <c r="U26" s="649"/>
      <c r="V26" s="649"/>
      <c r="W26" s="649"/>
      <c r="X26" s="649"/>
      <c r="Y26" s="649"/>
      <c r="Z26" s="649"/>
      <c r="AA26" s="649"/>
      <c r="AB26" s="649"/>
      <c r="AC26" s="649"/>
      <c r="AD26" s="649"/>
      <c r="AE26" s="649"/>
      <c r="AF26" s="649"/>
      <c r="AG26" s="649"/>
      <c r="AH26" s="649"/>
      <c r="AI26" s="649"/>
      <c r="AJ26" s="649"/>
      <c r="AK26" s="650"/>
      <c r="AL26" s="95"/>
    </row>
    <row r="27" spans="2:38" ht="16.5" customHeight="1">
      <c r="B27" s="93"/>
      <c r="C27" s="90"/>
      <c r="D27" s="624" t="s">
        <v>372</v>
      </c>
      <c r="E27" s="624"/>
      <c r="F27" s="624"/>
      <c r="G27" s="624"/>
      <c r="H27" s="624"/>
      <c r="I27" s="624"/>
      <c r="J27" s="624"/>
      <c r="K27" s="624"/>
      <c r="L27" s="624"/>
      <c r="M27" s="624"/>
      <c r="N27" s="624"/>
      <c r="O27" s="624"/>
      <c r="P27" s="92"/>
      <c r="Q27" s="641"/>
      <c r="R27" s="642"/>
      <c r="S27" s="642"/>
      <c r="T27" s="642"/>
      <c r="U27" s="642"/>
      <c r="V27" s="646" t="s">
        <v>489</v>
      </c>
      <c r="W27" s="657"/>
      <c r="X27" s="658"/>
      <c r="Y27" s="658"/>
      <c r="Z27" s="658"/>
      <c r="AA27" s="658"/>
      <c r="AB27" s="658"/>
      <c r="AC27" s="658"/>
      <c r="AD27" s="658"/>
      <c r="AE27" s="658"/>
      <c r="AF27" s="658"/>
      <c r="AG27" s="658"/>
      <c r="AH27" s="658"/>
      <c r="AI27" s="658"/>
      <c r="AJ27" s="658"/>
      <c r="AK27" s="659"/>
      <c r="AL27" s="95"/>
    </row>
    <row r="28" spans="2:38" ht="16.5" customHeight="1">
      <c r="B28" s="93"/>
      <c r="C28" s="99"/>
      <c r="D28" s="625"/>
      <c r="E28" s="625"/>
      <c r="F28" s="625"/>
      <c r="G28" s="625"/>
      <c r="H28" s="625"/>
      <c r="I28" s="625"/>
      <c r="J28" s="625"/>
      <c r="K28" s="625"/>
      <c r="L28" s="625"/>
      <c r="M28" s="625"/>
      <c r="N28" s="625"/>
      <c r="O28" s="625"/>
      <c r="P28" s="100"/>
      <c r="Q28" s="643"/>
      <c r="R28" s="644"/>
      <c r="S28" s="644"/>
      <c r="T28" s="644"/>
      <c r="U28" s="644"/>
      <c r="V28" s="647"/>
      <c r="W28" s="660"/>
      <c r="X28" s="660"/>
      <c r="Y28" s="660"/>
      <c r="Z28" s="660"/>
      <c r="AA28" s="660"/>
      <c r="AB28" s="660"/>
      <c r="AC28" s="660"/>
      <c r="AD28" s="660"/>
      <c r="AE28" s="660"/>
      <c r="AF28" s="660"/>
      <c r="AG28" s="660"/>
      <c r="AH28" s="660"/>
      <c r="AI28" s="660"/>
      <c r="AJ28" s="660"/>
      <c r="AK28" s="661"/>
      <c r="AL28" s="95"/>
    </row>
    <row r="29" spans="2:38" ht="16.5" customHeight="1">
      <c r="B29" s="93"/>
      <c r="C29" s="93"/>
      <c r="D29" s="624" t="s">
        <v>373</v>
      </c>
      <c r="E29" s="624"/>
      <c r="F29" s="624"/>
      <c r="G29" s="624"/>
      <c r="H29" s="624"/>
      <c r="I29" s="624"/>
      <c r="J29" s="624"/>
      <c r="K29" s="624"/>
      <c r="L29" s="624"/>
      <c r="M29" s="624"/>
      <c r="N29" s="624"/>
      <c r="O29" s="624"/>
      <c r="P29" s="95"/>
      <c r="Q29" s="634"/>
      <c r="R29" s="635"/>
      <c r="S29" s="635"/>
      <c r="T29" s="635"/>
      <c r="U29" s="635"/>
      <c r="V29" s="635"/>
      <c r="W29" s="635"/>
      <c r="X29" s="635"/>
      <c r="Y29" s="635"/>
      <c r="Z29" s="635"/>
      <c r="AA29" s="635"/>
      <c r="AB29" s="635"/>
      <c r="AC29" s="635"/>
      <c r="AD29" s="635"/>
      <c r="AE29" s="635"/>
      <c r="AF29" s="635"/>
      <c r="AG29" s="635"/>
      <c r="AH29" s="635"/>
      <c r="AI29" s="635"/>
      <c r="AJ29" s="635"/>
      <c r="AK29" s="636"/>
      <c r="AL29" s="95"/>
    </row>
    <row r="30" spans="2:38" ht="16.5" customHeight="1">
      <c r="B30" s="93"/>
      <c r="C30" s="93"/>
      <c r="D30" s="625"/>
      <c r="E30" s="625"/>
      <c r="F30" s="625"/>
      <c r="G30" s="625"/>
      <c r="H30" s="625"/>
      <c r="I30" s="625"/>
      <c r="J30" s="625"/>
      <c r="K30" s="625"/>
      <c r="L30" s="625"/>
      <c r="M30" s="625"/>
      <c r="N30" s="625"/>
      <c r="O30" s="625"/>
      <c r="P30" s="95"/>
      <c r="Q30" s="637"/>
      <c r="R30" s="638"/>
      <c r="S30" s="638"/>
      <c r="T30" s="638"/>
      <c r="U30" s="638"/>
      <c r="V30" s="638"/>
      <c r="W30" s="638"/>
      <c r="X30" s="638"/>
      <c r="Y30" s="638"/>
      <c r="Z30" s="638"/>
      <c r="AA30" s="638"/>
      <c r="AB30" s="638"/>
      <c r="AC30" s="638"/>
      <c r="AD30" s="638"/>
      <c r="AE30" s="638"/>
      <c r="AF30" s="638"/>
      <c r="AG30" s="638"/>
      <c r="AH30" s="638"/>
      <c r="AI30" s="638"/>
      <c r="AJ30" s="638"/>
      <c r="AK30" s="639"/>
      <c r="AL30" s="95"/>
    </row>
    <row r="31" spans="2:38" ht="16.5" customHeight="1">
      <c r="B31" s="93"/>
      <c r="C31" s="90"/>
      <c r="D31" s="624" t="s">
        <v>374</v>
      </c>
      <c r="E31" s="624"/>
      <c r="F31" s="624"/>
      <c r="G31" s="624"/>
      <c r="H31" s="624"/>
      <c r="I31" s="624"/>
      <c r="J31" s="624"/>
      <c r="K31" s="624"/>
      <c r="L31" s="624"/>
      <c r="M31" s="624"/>
      <c r="N31" s="624"/>
      <c r="O31" s="624"/>
      <c r="P31" s="101"/>
      <c r="Q31" s="651" t="s">
        <v>375</v>
      </c>
      <c r="R31" s="652"/>
      <c r="S31" s="652"/>
      <c r="T31" s="652"/>
      <c r="U31" s="652"/>
      <c r="V31" s="652"/>
      <c r="W31" s="652"/>
      <c r="X31" s="652"/>
      <c r="Y31" s="652"/>
      <c r="Z31" s="652"/>
      <c r="AA31" s="652"/>
      <c r="AB31" s="652"/>
      <c r="AC31" s="652"/>
      <c r="AD31" s="652"/>
      <c r="AE31" s="652"/>
      <c r="AF31" s="652"/>
      <c r="AG31" s="652"/>
      <c r="AH31" s="652"/>
      <c r="AI31" s="652"/>
      <c r="AJ31" s="652"/>
      <c r="AK31" s="653"/>
      <c r="AL31" s="95"/>
    </row>
    <row r="32" spans="2:38" ht="16.5" customHeight="1">
      <c r="B32" s="93"/>
      <c r="C32" s="99"/>
      <c r="D32" s="625"/>
      <c r="E32" s="625"/>
      <c r="F32" s="625"/>
      <c r="G32" s="625"/>
      <c r="H32" s="625"/>
      <c r="I32" s="625"/>
      <c r="J32" s="625"/>
      <c r="K32" s="625"/>
      <c r="L32" s="625"/>
      <c r="M32" s="625"/>
      <c r="N32" s="625"/>
      <c r="O32" s="625"/>
      <c r="P32" s="102"/>
      <c r="Q32" s="654"/>
      <c r="R32" s="655"/>
      <c r="S32" s="655"/>
      <c r="T32" s="655"/>
      <c r="U32" s="655"/>
      <c r="V32" s="655"/>
      <c r="W32" s="655"/>
      <c r="X32" s="655"/>
      <c r="Y32" s="655"/>
      <c r="Z32" s="655"/>
      <c r="AA32" s="655"/>
      <c r="AB32" s="655"/>
      <c r="AC32" s="655"/>
      <c r="AD32" s="655"/>
      <c r="AE32" s="655"/>
      <c r="AF32" s="655"/>
      <c r="AG32" s="655"/>
      <c r="AH32" s="655"/>
      <c r="AI32" s="655"/>
      <c r="AJ32" s="655"/>
      <c r="AK32" s="656"/>
      <c r="AL32" s="95"/>
    </row>
    <row r="33" spans="2:38" ht="16.5" customHeight="1">
      <c r="B33" s="93"/>
      <c r="C33" s="90"/>
      <c r="D33" s="624" t="s">
        <v>376</v>
      </c>
      <c r="E33" s="624"/>
      <c r="F33" s="624"/>
      <c r="G33" s="624"/>
      <c r="H33" s="624"/>
      <c r="I33" s="624"/>
      <c r="J33" s="624"/>
      <c r="K33" s="624"/>
      <c r="L33" s="624"/>
      <c r="M33" s="624"/>
      <c r="N33" s="624"/>
      <c r="O33" s="624"/>
      <c r="P33" s="103"/>
      <c r="Q33" s="104" t="s">
        <v>377</v>
      </c>
      <c r="R33" s="105"/>
      <c r="S33" s="105"/>
      <c r="T33" s="106"/>
      <c r="U33" s="629"/>
      <c r="V33" s="630"/>
      <c r="W33" s="630"/>
      <c r="X33" s="630"/>
      <c r="Y33" s="630"/>
      <c r="Z33" s="630"/>
      <c r="AA33" s="630"/>
      <c r="AB33" s="630"/>
      <c r="AC33" s="630"/>
      <c r="AD33" s="630"/>
      <c r="AE33" s="630"/>
      <c r="AF33" s="630"/>
      <c r="AG33" s="630"/>
      <c r="AH33" s="630"/>
      <c r="AI33" s="630"/>
      <c r="AJ33" s="630"/>
      <c r="AK33" s="631"/>
      <c r="AL33" s="95"/>
    </row>
    <row r="34" spans="2:38" ht="16.5" customHeight="1">
      <c r="B34" s="93"/>
      <c r="C34" s="93"/>
      <c r="D34" s="615"/>
      <c r="E34" s="615"/>
      <c r="F34" s="615"/>
      <c r="G34" s="615"/>
      <c r="H34" s="615"/>
      <c r="I34" s="615"/>
      <c r="J34" s="615"/>
      <c r="K34" s="615"/>
      <c r="L34" s="615"/>
      <c r="M34" s="615"/>
      <c r="N34" s="615"/>
      <c r="O34" s="615"/>
      <c r="P34" s="107"/>
      <c r="Q34" s="104" t="s">
        <v>378</v>
      </c>
      <c r="R34" s="105"/>
      <c r="S34" s="105"/>
      <c r="T34" s="106"/>
      <c r="U34" s="629"/>
      <c r="V34" s="630"/>
      <c r="W34" s="630"/>
      <c r="X34" s="630"/>
      <c r="Y34" s="630"/>
      <c r="Z34" s="630"/>
      <c r="AA34" s="630"/>
      <c r="AB34" s="630"/>
      <c r="AC34" s="630"/>
      <c r="AD34" s="630"/>
      <c r="AE34" s="630"/>
      <c r="AF34" s="630"/>
      <c r="AG34" s="630"/>
      <c r="AH34" s="630"/>
      <c r="AI34" s="630"/>
      <c r="AJ34" s="630"/>
      <c r="AK34" s="631"/>
      <c r="AL34" s="95"/>
    </row>
    <row r="35" spans="2:38" ht="16.5" customHeight="1">
      <c r="B35" s="93"/>
      <c r="C35" s="93"/>
      <c r="D35" s="615"/>
      <c r="E35" s="615"/>
      <c r="F35" s="615"/>
      <c r="G35" s="615"/>
      <c r="H35" s="615"/>
      <c r="I35" s="615"/>
      <c r="J35" s="615"/>
      <c r="K35" s="615"/>
      <c r="L35" s="615"/>
      <c r="M35" s="615"/>
      <c r="N35" s="615"/>
      <c r="O35" s="615"/>
      <c r="P35" s="107"/>
      <c r="Q35" s="104" t="s">
        <v>365</v>
      </c>
      <c r="R35" s="105"/>
      <c r="S35" s="105"/>
      <c r="T35" s="106"/>
      <c r="U35" s="632"/>
      <c r="V35" s="632"/>
      <c r="W35" s="632"/>
      <c r="X35" s="632"/>
      <c r="Y35" s="632"/>
      <c r="Z35" s="632"/>
      <c r="AA35" s="632"/>
      <c r="AB35" s="632"/>
      <c r="AC35" s="632"/>
      <c r="AD35" s="632"/>
      <c r="AE35" s="632"/>
      <c r="AF35" s="632"/>
      <c r="AG35" s="632"/>
      <c r="AH35" s="632"/>
      <c r="AI35" s="632"/>
      <c r="AJ35" s="632"/>
      <c r="AK35" s="632"/>
      <c r="AL35" s="95"/>
    </row>
    <row r="36" spans="2:38" ht="16.5" customHeight="1">
      <c r="B36" s="93"/>
      <c r="C36" s="93"/>
      <c r="D36" s="615"/>
      <c r="E36" s="615"/>
      <c r="F36" s="615"/>
      <c r="G36" s="615"/>
      <c r="H36" s="615"/>
      <c r="I36" s="615"/>
      <c r="J36" s="615"/>
      <c r="K36" s="615"/>
      <c r="L36" s="615"/>
      <c r="M36" s="615"/>
      <c r="N36" s="615"/>
      <c r="O36" s="615"/>
      <c r="P36" s="95"/>
      <c r="Q36" s="108" t="s">
        <v>379</v>
      </c>
      <c r="R36" s="105"/>
      <c r="S36" s="105"/>
      <c r="T36" s="106"/>
      <c r="U36" s="632"/>
      <c r="V36" s="632"/>
      <c r="W36" s="632"/>
      <c r="X36" s="632"/>
      <c r="Y36" s="632"/>
      <c r="Z36" s="632"/>
      <c r="AA36" s="632"/>
      <c r="AB36" s="632"/>
      <c r="AC36" s="632"/>
      <c r="AD36" s="632"/>
      <c r="AE36" s="632"/>
      <c r="AF36" s="632"/>
      <c r="AG36" s="632"/>
      <c r="AH36" s="632"/>
      <c r="AI36" s="632"/>
      <c r="AJ36" s="632"/>
      <c r="AK36" s="632"/>
      <c r="AL36" s="95"/>
    </row>
    <row r="37" spans="2:38" ht="16.5" customHeight="1">
      <c r="B37" s="93"/>
      <c r="C37" s="93"/>
      <c r="D37" s="615"/>
      <c r="E37" s="615"/>
      <c r="F37" s="615"/>
      <c r="G37" s="615"/>
      <c r="H37" s="615"/>
      <c r="I37" s="615"/>
      <c r="J37" s="615"/>
      <c r="K37" s="615"/>
      <c r="L37" s="615"/>
      <c r="M37" s="615"/>
      <c r="N37" s="615"/>
      <c r="O37" s="615"/>
      <c r="P37" s="95"/>
      <c r="Q37" s="108" t="s">
        <v>380</v>
      </c>
      <c r="R37" s="105"/>
      <c r="S37" s="105"/>
      <c r="T37" s="106"/>
      <c r="U37" s="632"/>
      <c r="V37" s="632"/>
      <c r="W37" s="632"/>
      <c r="X37" s="632"/>
      <c r="Y37" s="632"/>
      <c r="Z37" s="632"/>
      <c r="AA37" s="632"/>
      <c r="AB37" s="632"/>
      <c r="AC37" s="632"/>
      <c r="AD37" s="632"/>
      <c r="AE37" s="632"/>
      <c r="AF37" s="632"/>
      <c r="AG37" s="632"/>
      <c r="AH37" s="632"/>
      <c r="AI37" s="632"/>
      <c r="AJ37" s="632"/>
      <c r="AK37" s="632"/>
      <c r="AL37" s="95"/>
    </row>
    <row r="38" spans="2:38" ht="16.5" customHeight="1">
      <c r="B38" s="93"/>
      <c r="C38" s="93"/>
      <c r="D38" s="615"/>
      <c r="E38" s="615"/>
      <c r="F38" s="615"/>
      <c r="G38" s="615"/>
      <c r="H38" s="615"/>
      <c r="I38" s="615"/>
      <c r="J38" s="615"/>
      <c r="K38" s="615"/>
      <c r="L38" s="615"/>
      <c r="M38" s="615"/>
      <c r="N38" s="615"/>
      <c r="O38" s="615"/>
      <c r="P38" s="95"/>
      <c r="Q38" s="626" t="s">
        <v>381</v>
      </c>
      <c r="R38" s="627"/>
      <c r="S38" s="627"/>
      <c r="T38" s="628"/>
      <c r="U38" s="632"/>
      <c r="V38" s="632"/>
      <c r="W38" s="632"/>
      <c r="X38" s="632"/>
      <c r="Y38" s="632"/>
      <c r="Z38" s="632"/>
      <c r="AA38" s="632"/>
      <c r="AB38" s="632"/>
      <c r="AC38" s="632"/>
      <c r="AD38" s="632"/>
      <c r="AE38" s="632"/>
      <c r="AF38" s="632"/>
      <c r="AG38" s="632"/>
      <c r="AH38" s="632"/>
      <c r="AI38" s="632"/>
      <c r="AJ38" s="632"/>
      <c r="AK38" s="632"/>
      <c r="AL38" s="95"/>
    </row>
    <row r="39" spans="2:38" ht="16.5" customHeight="1">
      <c r="B39" s="93"/>
      <c r="C39" s="93"/>
      <c r="D39" s="615"/>
      <c r="E39" s="615"/>
      <c r="F39" s="615"/>
      <c r="G39" s="615"/>
      <c r="H39" s="615"/>
      <c r="I39" s="615"/>
      <c r="J39" s="615"/>
      <c r="K39" s="615"/>
      <c r="L39" s="615"/>
      <c r="M39" s="615"/>
      <c r="N39" s="615"/>
      <c r="O39" s="615"/>
      <c r="P39" s="95"/>
      <c r="Q39" s="626" t="s">
        <v>382</v>
      </c>
      <c r="R39" s="627"/>
      <c r="S39" s="627"/>
      <c r="T39" s="628"/>
      <c r="U39" s="633"/>
      <c r="V39" s="632"/>
      <c r="W39" s="632"/>
      <c r="X39" s="632"/>
      <c r="Y39" s="632"/>
      <c r="Z39" s="632"/>
      <c r="AA39" s="632"/>
      <c r="AB39" s="632"/>
      <c r="AC39" s="632"/>
      <c r="AD39" s="632"/>
      <c r="AE39" s="632"/>
      <c r="AF39" s="632"/>
      <c r="AG39" s="632"/>
      <c r="AH39" s="632"/>
      <c r="AI39" s="632"/>
      <c r="AJ39" s="632"/>
      <c r="AK39" s="632"/>
      <c r="AL39" s="95"/>
    </row>
    <row r="40" spans="2:38" ht="16.5" customHeight="1">
      <c r="B40" s="93"/>
      <c r="C40" s="99"/>
      <c r="D40" s="625"/>
      <c r="E40" s="625"/>
      <c r="F40" s="625"/>
      <c r="G40" s="625"/>
      <c r="H40" s="625"/>
      <c r="I40" s="625"/>
      <c r="J40" s="625"/>
      <c r="K40" s="625"/>
      <c r="L40" s="625"/>
      <c r="M40" s="625"/>
      <c r="N40" s="625"/>
      <c r="O40" s="625"/>
      <c r="P40" s="100"/>
      <c r="Q40" s="626" t="s">
        <v>383</v>
      </c>
      <c r="R40" s="627"/>
      <c r="S40" s="627"/>
      <c r="T40" s="628"/>
      <c r="U40" s="632"/>
      <c r="V40" s="632"/>
      <c r="W40" s="632"/>
      <c r="X40" s="632"/>
      <c r="Y40" s="632"/>
      <c r="Z40" s="632"/>
      <c r="AA40" s="632"/>
      <c r="AB40" s="632"/>
      <c r="AC40" s="632"/>
      <c r="AD40" s="632"/>
      <c r="AE40" s="632"/>
      <c r="AF40" s="632"/>
      <c r="AG40" s="632"/>
      <c r="AH40" s="632"/>
      <c r="AI40" s="632"/>
      <c r="AJ40" s="632"/>
      <c r="AK40" s="632"/>
      <c r="AL40" s="95"/>
    </row>
    <row r="41" spans="2:38" ht="16.5" customHeight="1">
      <c r="B41" s="93"/>
      <c r="C41" s="90"/>
      <c r="D41" s="109" t="s">
        <v>384</v>
      </c>
      <c r="E41" s="110"/>
      <c r="F41" s="110"/>
      <c r="G41" s="110"/>
      <c r="H41" s="110"/>
      <c r="I41" s="110"/>
      <c r="J41" s="110"/>
      <c r="K41" s="110"/>
      <c r="L41" s="111"/>
      <c r="M41" s="91"/>
      <c r="N41" s="91"/>
      <c r="O41" s="91"/>
      <c r="P41" s="91"/>
      <c r="Q41" s="91"/>
      <c r="R41" s="91"/>
      <c r="S41" s="91"/>
      <c r="T41" s="91"/>
      <c r="U41" s="91"/>
      <c r="V41" s="91"/>
      <c r="W41" s="91"/>
      <c r="X41" s="91"/>
      <c r="Y41" s="91"/>
      <c r="Z41" s="91"/>
      <c r="AA41" s="91"/>
      <c r="AB41" s="91"/>
      <c r="AC41" s="91"/>
      <c r="AD41" s="91"/>
      <c r="AE41" s="112"/>
      <c r="AF41" s="112"/>
      <c r="AG41" s="112"/>
      <c r="AH41" s="112"/>
      <c r="AI41" s="112"/>
      <c r="AJ41" s="112"/>
      <c r="AK41" s="113"/>
      <c r="AL41" s="95"/>
    </row>
    <row r="42" spans="2:38" ht="16.5" customHeight="1">
      <c r="B42" s="93"/>
      <c r="C42" s="93"/>
      <c r="D42" s="620" t="s">
        <v>785</v>
      </c>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1"/>
      <c r="AL42" s="95"/>
    </row>
    <row r="43" spans="2:38" ht="16.5" customHeight="1">
      <c r="B43" s="93"/>
      <c r="C43" s="93"/>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1"/>
      <c r="AL43" s="95"/>
    </row>
    <row r="44" spans="2:38" ht="16.5" customHeight="1">
      <c r="B44" s="93"/>
      <c r="C44" s="93"/>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1"/>
      <c r="AL44" s="95"/>
    </row>
    <row r="45" spans="2:38" ht="16.5" customHeight="1">
      <c r="B45" s="93"/>
      <c r="C45" s="93"/>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1"/>
      <c r="AL45" s="95"/>
    </row>
    <row r="46" spans="2:38" ht="16.5" customHeight="1">
      <c r="B46" s="93"/>
      <c r="C46" s="93"/>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1"/>
      <c r="AL46" s="95"/>
    </row>
    <row r="47" spans="2:38" ht="16.5" customHeight="1">
      <c r="B47" s="93"/>
      <c r="C47" s="99"/>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3"/>
      <c r="AL47" s="95"/>
    </row>
    <row r="48" spans="2:38" ht="16.5" customHeight="1">
      <c r="B48" s="93"/>
      <c r="AL48" s="95"/>
    </row>
    <row r="49" spans="2:38" ht="3.75" customHeight="1">
      <c r="B49" s="99"/>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00"/>
    </row>
    <row r="50" spans="2:38" ht="16.5" customHeight="1">
      <c r="AL50" s="115" t="s">
        <v>477</v>
      </c>
    </row>
  </sheetData>
  <sheetProtection algorithmName="SHA-512" hashValue="C4EknHfYEIazYHG5v8l4Zf8HgWvZUctSK7TKIWDYehm5Z4Jkf1pGY3hIhZDSwS1+VIHjbYFISPRu1fAAWHAyCg==" saltValue="QWcdXh0gc9SKprtjxhcRoA==" spinCount="100000" sheet="1" objects="1" scenarios="1" formatRows="0" selectLockedCells="1"/>
  <mergeCells count="35">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2:AK47"/>
    <mergeCell ref="D29:O30"/>
    <mergeCell ref="Q39:T39"/>
    <mergeCell ref="Q40:T40"/>
    <mergeCell ref="Q38:T38"/>
    <mergeCell ref="U34:AK34"/>
    <mergeCell ref="U36:AK36"/>
    <mergeCell ref="D33:O40"/>
    <mergeCell ref="U37:AK37"/>
    <mergeCell ref="U39:AK39"/>
    <mergeCell ref="U40:AK40"/>
    <mergeCell ref="Q29:AK30"/>
    <mergeCell ref="V14:AJ15"/>
    <mergeCell ref="X8:AI9"/>
    <mergeCell ref="T8:W9"/>
    <mergeCell ref="X10:AI11"/>
    <mergeCell ref="AA3:AC3"/>
    <mergeCell ref="AE3:AF3"/>
    <mergeCell ref="AH3:AI3"/>
    <mergeCell ref="T11:W11"/>
    <mergeCell ref="T7:AI7"/>
    <mergeCell ref="X12:AI13"/>
  </mergeCells>
  <phoneticPr fontId="21"/>
  <conditionalFormatting sqref="Q29:AK30">
    <cfRule type="cellIs" dxfId="49"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A107"/>
  <sheetViews>
    <sheetView showGridLines="0" view="pageBreakPreview" zoomScaleSheetLayoutView="100" workbookViewId="0">
      <selection activeCell="H4" sqref="H4:J4"/>
    </sheetView>
  </sheetViews>
  <sheetFormatPr defaultColWidth="9" defaultRowHeight="12"/>
  <cols>
    <col min="1" max="1" width="3.625" style="116" customWidth="1"/>
    <col min="2" max="2" width="0.5" style="116" customWidth="1"/>
    <col min="3" max="3" width="3.625" style="116" customWidth="1"/>
    <col min="4" max="7" width="1.5" style="116" customWidth="1"/>
    <col min="8" max="17" width="2.375" style="116" customWidth="1"/>
    <col min="18" max="29" width="3.375" style="116" customWidth="1"/>
    <col min="30" max="33" width="2.375" style="116" customWidth="1"/>
    <col min="34" max="42" width="2.625" style="116" customWidth="1"/>
    <col min="43" max="43" width="1" style="116" customWidth="1"/>
    <col min="44" max="44" width="0.5" style="116" customWidth="1"/>
    <col min="45" max="47" width="5.625" style="116" customWidth="1"/>
    <col min="48" max="53" width="5.625" style="116" hidden="1" customWidth="1"/>
    <col min="54" max="54" width="9" style="116" customWidth="1"/>
    <col min="55" max="16384" width="9" style="116"/>
  </cols>
  <sheetData>
    <row r="1" spans="1:52">
      <c r="A1" s="116" t="s">
        <v>29</v>
      </c>
    </row>
    <row r="2" spans="1:52" ht="3" customHeight="1">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9"/>
    </row>
    <row r="3" spans="1:52" ht="15" customHeight="1">
      <c r="B3" s="120"/>
      <c r="AR3" s="121"/>
    </row>
    <row r="4" spans="1:52" ht="15.75" customHeight="1">
      <c r="B4" s="120"/>
      <c r="G4" s="122"/>
      <c r="H4" s="710">
        <v>2026</v>
      </c>
      <c r="I4" s="711"/>
      <c r="J4" s="712"/>
      <c r="K4" s="123" t="s">
        <v>157</v>
      </c>
      <c r="AR4" s="121"/>
    </row>
    <row r="5" spans="1:52" ht="27" customHeight="1">
      <c r="B5" s="120"/>
      <c r="E5" s="713" t="s">
        <v>345</v>
      </c>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124"/>
      <c r="AR5" s="121"/>
      <c r="AW5" s="116" t="s">
        <v>158</v>
      </c>
    </row>
    <row r="6" spans="1:52" ht="10.5" customHeight="1">
      <c r="B6" s="120"/>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1"/>
    </row>
    <row r="7" spans="1:52" ht="18" customHeight="1">
      <c r="B7" s="120"/>
      <c r="E7" s="116" t="s">
        <v>159</v>
      </c>
      <c r="AR7" s="121"/>
      <c r="AW7" s="116" t="s">
        <v>160</v>
      </c>
    </row>
    <row r="8" spans="1:52" ht="18" customHeight="1" thickBot="1">
      <c r="B8" s="120"/>
      <c r="E8" s="116" t="s">
        <v>161</v>
      </c>
      <c r="AR8" s="121"/>
      <c r="AW8" s="116" t="s">
        <v>162</v>
      </c>
      <c r="AX8" s="116" t="s">
        <v>163</v>
      </c>
      <c r="AY8" s="116" t="s">
        <v>164</v>
      </c>
      <c r="AZ8" s="116">
        <v>1</v>
      </c>
    </row>
    <row r="9" spans="1:52" ht="30" customHeight="1" thickBot="1">
      <c r="B9" s="120"/>
      <c r="E9" s="714"/>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6"/>
      <c r="AQ9" s="125"/>
      <c r="AR9" s="121"/>
      <c r="AW9" s="116" t="s">
        <v>165</v>
      </c>
      <c r="AX9" s="116" t="s">
        <v>166</v>
      </c>
      <c r="AY9" s="116" t="s">
        <v>167</v>
      </c>
      <c r="AZ9" s="116">
        <v>2</v>
      </c>
    </row>
    <row r="10" spans="1:52" ht="10.5" customHeight="1">
      <c r="B10" s="120"/>
      <c r="AR10" s="121"/>
      <c r="AW10" s="116" t="s">
        <v>168</v>
      </c>
      <c r="AX10" s="116" t="s">
        <v>169</v>
      </c>
      <c r="AY10" s="116" t="s">
        <v>170</v>
      </c>
      <c r="AZ10" s="116">
        <v>3</v>
      </c>
    </row>
    <row r="11" spans="1:52" ht="18.75" hidden="1" customHeight="1" thickBot="1">
      <c r="B11" s="120"/>
      <c r="E11" s="126" t="s">
        <v>27</v>
      </c>
      <c r="AH11" s="127"/>
      <c r="AI11" s="717" t="s">
        <v>102</v>
      </c>
      <c r="AJ11" s="718"/>
      <c r="AK11" s="718"/>
      <c r="AL11" s="719"/>
      <c r="AM11" s="717" t="str">
        <f>IF(提出書!Q29="","",提出書!Q29)</f>
        <v/>
      </c>
      <c r="AN11" s="718"/>
      <c r="AO11" s="718"/>
      <c r="AP11" s="719"/>
      <c r="AQ11" s="128"/>
      <c r="AR11" s="121"/>
      <c r="AW11" s="116" t="s">
        <v>171</v>
      </c>
      <c r="AX11" s="116" t="s">
        <v>172</v>
      </c>
      <c r="AY11" s="116" t="s">
        <v>173</v>
      </c>
      <c r="AZ11" s="116">
        <v>4</v>
      </c>
    </row>
    <row r="12" spans="1:52" ht="27.75" hidden="1" customHeight="1">
      <c r="B12" s="120"/>
      <c r="E12" s="129"/>
      <c r="F12" s="720" t="s">
        <v>299</v>
      </c>
      <c r="G12" s="721"/>
      <c r="H12" s="721"/>
      <c r="I12" s="721"/>
      <c r="J12" s="721"/>
      <c r="K12" s="721"/>
      <c r="L12" s="721"/>
      <c r="M12" s="721"/>
      <c r="N12" s="721"/>
      <c r="O12" s="721"/>
      <c r="P12" s="721"/>
      <c r="Q12" s="130"/>
      <c r="R12" s="722" t="str">
        <f>IF(提出書!Q25="","",提出書!Q25)</f>
        <v/>
      </c>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3"/>
      <c r="AQ12" s="131"/>
      <c r="AR12" s="121"/>
      <c r="AW12" s="116" t="s">
        <v>174</v>
      </c>
      <c r="AX12" s="116" t="s">
        <v>175</v>
      </c>
      <c r="AY12" s="116" t="s">
        <v>176</v>
      </c>
      <c r="AZ12" s="116">
        <v>5</v>
      </c>
    </row>
    <row r="13" spans="1:52" ht="27.75" hidden="1" customHeight="1" thickBot="1">
      <c r="B13" s="120"/>
      <c r="E13" s="132"/>
      <c r="F13" s="736" t="s">
        <v>30</v>
      </c>
      <c r="G13" s="736"/>
      <c r="H13" s="736"/>
      <c r="I13" s="736"/>
      <c r="J13" s="736"/>
      <c r="K13" s="736"/>
      <c r="L13" s="736"/>
      <c r="M13" s="736"/>
      <c r="N13" s="736"/>
      <c r="O13" s="736"/>
      <c r="P13" s="736"/>
      <c r="Q13" s="133"/>
      <c r="R13" s="737" t="str">
        <f>IF(提出書!Q27="","",提出書!Q27)&amp;IF(提出書!Q27="","",提出書!V27)&amp;IF(提出書!W27="","",提出書!W27)</f>
        <v/>
      </c>
      <c r="S13" s="738"/>
      <c r="T13" s="738"/>
      <c r="U13" s="738"/>
      <c r="V13" s="738"/>
      <c r="W13" s="738"/>
      <c r="X13" s="738"/>
      <c r="Y13" s="738"/>
      <c r="Z13" s="738"/>
      <c r="AA13" s="738"/>
      <c r="AB13" s="738"/>
      <c r="AC13" s="738"/>
      <c r="AD13" s="738"/>
      <c r="AE13" s="738"/>
      <c r="AF13" s="738"/>
      <c r="AG13" s="738"/>
      <c r="AH13" s="738"/>
      <c r="AI13" s="738"/>
      <c r="AJ13" s="738"/>
      <c r="AK13" s="738"/>
      <c r="AL13" s="738"/>
      <c r="AM13" s="738"/>
      <c r="AN13" s="738"/>
      <c r="AO13" s="738"/>
      <c r="AP13" s="739"/>
      <c r="AQ13" s="131"/>
      <c r="AR13" s="121"/>
      <c r="AW13" s="116" t="s">
        <v>177</v>
      </c>
      <c r="AX13" s="116" t="s">
        <v>178</v>
      </c>
      <c r="AY13" s="116" t="s">
        <v>179</v>
      </c>
      <c r="AZ13" s="116">
        <v>6</v>
      </c>
    </row>
    <row r="14" spans="1:52" ht="10.5" customHeight="1">
      <c r="B14" s="120"/>
      <c r="AR14" s="121"/>
      <c r="AW14" s="116" t="s">
        <v>180</v>
      </c>
      <c r="AX14" s="116" t="s">
        <v>181</v>
      </c>
      <c r="AY14" s="116" t="s">
        <v>182</v>
      </c>
      <c r="AZ14" s="116">
        <v>7</v>
      </c>
    </row>
    <row r="15" spans="1:52" ht="18.75" customHeight="1" thickBot="1">
      <c r="B15" s="120"/>
      <c r="E15" s="116" t="s">
        <v>451</v>
      </c>
      <c r="AH15" s="127"/>
      <c r="AI15" s="743"/>
      <c r="AJ15" s="743"/>
      <c r="AK15" s="743"/>
      <c r="AL15" s="743"/>
      <c r="AM15" s="127"/>
      <c r="AN15" s="741"/>
      <c r="AO15" s="741"/>
      <c r="AP15" s="741"/>
      <c r="AQ15" s="134"/>
      <c r="AR15" s="121"/>
      <c r="AW15" s="116" t="s">
        <v>183</v>
      </c>
      <c r="AX15" s="116" t="s">
        <v>184</v>
      </c>
      <c r="AY15" s="116" t="s">
        <v>185</v>
      </c>
      <c r="AZ15" s="116">
        <v>8</v>
      </c>
    </row>
    <row r="16" spans="1:52" ht="27.75" customHeight="1">
      <c r="B16" s="120"/>
      <c r="E16" s="129"/>
      <c r="F16" s="742" t="s">
        <v>186</v>
      </c>
      <c r="G16" s="742"/>
      <c r="H16" s="742"/>
      <c r="I16" s="742"/>
      <c r="J16" s="742"/>
      <c r="K16" s="742"/>
      <c r="L16" s="742"/>
      <c r="M16" s="742"/>
      <c r="N16" s="742"/>
      <c r="O16" s="742"/>
      <c r="P16" s="742"/>
      <c r="Q16" s="130"/>
      <c r="R16" s="707"/>
      <c r="S16" s="708"/>
      <c r="T16" s="708"/>
      <c r="U16" s="708"/>
      <c r="V16" s="708"/>
      <c r="W16" s="708"/>
      <c r="X16" s="708"/>
      <c r="Y16" s="708"/>
      <c r="Z16" s="708"/>
      <c r="AA16" s="708"/>
      <c r="AB16" s="708"/>
      <c r="AC16" s="708"/>
      <c r="AD16" s="708"/>
      <c r="AE16" s="708"/>
      <c r="AF16" s="708"/>
      <c r="AG16" s="708"/>
      <c r="AH16" s="708"/>
      <c r="AI16" s="708"/>
      <c r="AJ16" s="708"/>
      <c r="AK16" s="708"/>
      <c r="AL16" s="708"/>
      <c r="AM16" s="708"/>
      <c r="AN16" s="708"/>
      <c r="AO16" s="708"/>
      <c r="AP16" s="709"/>
      <c r="AQ16" s="131"/>
      <c r="AR16" s="121"/>
      <c r="AW16" s="116" t="s">
        <v>187</v>
      </c>
      <c r="AX16" s="116" t="s">
        <v>188</v>
      </c>
      <c r="AY16" s="116" t="s">
        <v>189</v>
      </c>
      <c r="AZ16" s="116">
        <v>9</v>
      </c>
    </row>
    <row r="17" spans="2:52" ht="18.75" customHeight="1">
      <c r="B17" s="120"/>
      <c r="E17" s="726" t="s">
        <v>190</v>
      </c>
      <c r="F17" s="727"/>
      <c r="G17" s="728"/>
      <c r="H17" s="676" t="s">
        <v>191</v>
      </c>
      <c r="I17" s="676"/>
      <c r="J17" s="676"/>
      <c r="K17" s="135"/>
      <c r="L17" s="735" t="s">
        <v>300</v>
      </c>
      <c r="M17" s="735"/>
      <c r="N17" s="735"/>
      <c r="O17" s="735"/>
      <c r="P17" s="735"/>
      <c r="Q17" s="136"/>
      <c r="R17" s="671" t="str">
        <f>IF(W17="","",CONCATENATE(VLOOKUP($W$17,$AW$8:$AX$27,2,FALSE),TEXT(VLOOKUP($AG$17,$AY$8:$AZ$107,2,FALSE),"00")))</f>
        <v/>
      </c>
      <c r="S17" s="672"/>
      <c r="T17" s="672"/>
      <c r="U17" s="672"/>
      <c r="V17" s="724"/>
      <c r="W17" s="704"/>
      <c r="X17" s="705"/>
      <c r="Y17" s="705"/>
      <c r="Z17" s="705"/>
      <c r="AA17" s="705"/>
      <c r="AB17" s="705"/>
      <c r="AC17" s="705"/>
      <c r="AD17" s="705"/>
      <c r="AE17" s="705"/>
      <c r="AF17" s="706"/>
      <c r="AG17" s="704"/>
      <c r="AH17" s="705"/>
      <c r="AI17" s="705"/>
      <c r="AJ17" s="705"/>
      <c r="AK17" s="705"/>
      <c r="AL17" s="705"/>
      <c r="AM17" s="705"/>
      <c r="AN17" s="705"/>
      <c r="AO17" s="705"/>
      <c r="AP17" s="740"/>
      <c r="AQ17" s="137"/>
      <c r="AR17" s="121"/>
      <c r="AW17" s="116" t="s">
        <v>192</v>
      </c>
      <c r="AX17" s="116" t="s">
        <v>193</v>
      </c>
      <c r="AY17" s="116" t="s">
        <v>194</v>
      </c>
      <c r="AZ17" s="116">
        <v>10</v>
      </c>
    </row>
    <row r="18" spans="2:52" ht="18.75" customHeight="1">
      <c r="B18" s="120"/>
      <c r="E18" s="729"/>
      <c r="F18" s="730"/>
      <c r="G18" s="731"/>
      <c r="H18" s="676"/>
      <c r="I18" s="676"/>
      <c r="J18" s="676"/>
      <c r="K18" s="135"/>
      <c r="L18" s="725" t="s">
        <v>315</v>
      </c>
      <c r="M18" s="725"/>
      <c r="N18" s="725"/>
      <c r="O18" s="725"/>
      <c r="P18" s="725"/>
      <c r="Q18" s="136"/>
      <c r="R18" s="671" t="str">
        <f>IF(AG17="","",AG17)</f>
        <v/>
      </c>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3"/>
      <c r="AQ18" s="138"/>
      <c r="AR18" s="121"/>
      <c r="AW18" s="116" t="s">
        <v>195</v>
      </c>
      <c r="AX18" s="116" t="s">
        <v>196</v>
      </c>
      <c r="AY18" s="116" t="s">
        <v>197</v>
      </c>
      <c r="AZ18" s="116">
        <v>11</v>
      </c>
    </row>
    <row r="19" spans="2:52" ht="18.75" customHeight="1">
      <c r="B19" s="120"/>
      <c r="E19" s="729"/>
      <c r="F19" s="730"/>
      <c r="G19" s="731"/>
      <c r="H19" s="676" t="s">
        <v>198</v>
      </c>
      <c r="I19" s="676"/>
      <c r="J19" s="676"/>
      <c r="K19" s="135"/>
      <c r="L19" s="685" t="s">
        <v>301</v>
      </c>
      <c r="M19" s="685"/>
      <c r="N19" s="685"/>
      <c r="O19" s="685"/>
      <c r="P19" s="685"/>
      <c r="Q19" s="119"/>
      <c r="R19" s="699" t="str">
        <f>IF(AD20="","",INDEX(S21:S31,MATCH(MAX(AD21:AD31),AD21:AD31,0)))</f>
        <v/>
      </c>
      <c r="S19" s="700"/>
      <c r="T19" s="700"/>
      <c r="U19" s="700"/>
      <c r="V19" s="700"/>
      <c r="W19" s="700"/>
      <c r="X19" s="700"/>
      <c r="Y19" s="700"/>
      <c r="Z19" s="701"/>
      <c r="AA19" s="701"/>
      <c r="AB19" s="701"/>
      <c r="AC19" s="701"/>
      <c r="AD19" s="701"/>
      <c r="AE19" s="701"/>
      <c r="AF19" s="701"/>
      <c r="AG19" s="701"/>
      <c r="AH19" s="701"/>
      <c r="AI19" s="701"/>
      <c r="AJ19" s="701"/>
      <c r="AK19" s="701"/>
      <c r="AL19" s="701"/>
      <c r="AM19" s="701"/>
      <c r="AN19" s="701"/>
      <c r="AO19" s="701"/>
      <c r="AP19" s="702"/>
      <c r="AQ19" s="139"/>
      <c r="AR19" s="121"/>
      <c r="AW19" s="116" t="s">
        <v>199</v>
      </c>
      <c r="AX19" s="116" t="s">
        <v>200</v>
      </c>
      <c r="AY19" s="116" t="s">
        <v>201</v>
      </c>
      <c r="AZ19" s="116">
        <v>12</v>
      </c>
    </row>
    <row r="20" spans="2:52" ht="28.5" customHeight="1">
      <c r="B20" s="120"/>
      <c r="E20" s="729"/>
      <c r="F20" s="730"/>
      <c r="G20" s="731"/>
      <c r="H20" s="676"/>
      <c r="I20" s="676"/>
      <c r="J20" s="676"/>
      <c r="K20" s="140"/>
      <c r="L20" s="703" t="s">
        <v>357</v>
      </c>
      <c r="M20" s="703"/>
      <c r="N20" s="703"/>
      <c r="O20" s="703"/>
      <c r="P20" s="703"/>
      <c r="Q20" s="703"/>
      <c r="R20" s="703"/>
      <c r="S20" s="703"/>
      <c r="T20" s="703"/>
      <c r="U20" s="703"/>
      <c r="V20" s="703"/>
      <c r="W20" s="703"/>
      <c r="X20" s="703"/>
      <c r="Y20" s="703"/>
      <c r="Z20" s="141"/>
      <c r="AA20" s="679" t="s">
        <v>202</v>
      </c>
      <c r="AB20" s="679"/>
      <c r="AC20" s="680"/>
      <c r="AD20" s="677" t="str">
        <f>IF(MAX(AD21:AN31)&gt;0,SUM(AD21:AN31),"")</f>
        <v/>
      </c>
      <c r="AE20" s="677"/>
      <c r="AF20" s="677"/>
      <c r="AG20" s="677"/>
      <c r="AH20" s="677"/>
      <c r="AI20" s="677"/>
      <c r="AJ20" s="677"/>
      <c r="AK20" s="677"/>
      <c r="AL20" s="677"/>
      <c r="AM20" s="677"/>
      <c r="AN20" s="677"/>
      <c r="AO20" s="674" t="s">
        <v>302</v>
      </c>
      <c r="AP20" s="675"/>
      <c r="AQ20" s="142"/>
      <c r="AR20" s="121"/>
      <c r="AW20" s="116" t="s">
        <v>203</v>
      </c>
      <c r="AX20" s="116" t="s">
        <v>204</v>
      </c>
      <c r="AY20" s="116" t="s">
        <v>205</v>
      </c>
      <c r="AZ20" s="116">
        <v>13</v>
      </c>
    </row>
    <row r="21" spans="2:52" ht="18" customHeight="1">
      <c r="B21" s="120"/>
      <c r="E21" s="729"/>
      <c r="F21" s="730"/>
      <c r="G21" s="731"/>
      <c r="H21" s="676"/>
      <c r="I21" s="676"/>
      <c r="J21" s="676"/>
      <c r="K21" s="120"/>
      <c r="O21" s="121"/>
      <c r="P21" s="744" t="s">
        <v>206</v>
      </c>
      <c r="Q21" s="744"/>
      <c r="R21" s="143"/>
      <c r="S21" s="678" t="s">
        <v>303</v>
      </c>
      <c r="T21" s="678"/>
      <c r="U21" s="678"/>
      <c r="V21" s="678"/>
      <c r="W21" s="678"/>
      <c r="X21" s="678"/>
      <c r="Y21" s="678"/>
      <c r="Z21" s="144"/>
      <c r="AA21" s="679" t="s">
        <v>202</v>
      </c>
      <c r="AB21" s="679"/>
      <c r="AC21" s="680"/>
      <c r="AD21" s="682"/>
      <c r="AE21" s="682"/>
      <c r="AF21" s="682"/>
      <c r="AG21" s="682"/>
      <c r="AH21" s="682"/>
      <c r="AI21" s="682"/>
      <c r="AJ21" s="682"/>
      <c r="AK21" s="682"/>
      <c r="AL21" s="682"/>
      <c r="AM21" s="682"/>
      <c r="AN21" s="682"/>
      <c r="AO21" s="674" t="s">
        <v>302</v>
      </c>
      <c r="AP21" s="675"/>
      <c r="AQ21" s="142"/>
      <c r="AR21" s="121"/>
      <c r="AW21" s="116" t="s">
        <v>207</v>
      </c>
      <c r="AX21" s="116" t="s">
        <v>208</v>
      </c>
      <c r="AY21" s="116" t="s">
        <v>209</v>
      </c>
      <c r="AZ21" s="116">
        <v>14</v>
      </c>
    </row>
    <row r="22" spans="2:52" ht="18" customHeight="1">
      <c r="B22" s="120"/>
      <c r="E22" s="729"/>
      <c r="F22" s="730"/>
      <c r="G22" s="731"/>
      <c r="H22" s="676"/>
      <c r="I22" s="676"/>
      <c r="J22" s="676"/>
      <c r="K22" s="120"/>
      <c r="O22" s="121"/>
      <c r="P22" s="744"/>
      <c r="Q22" s="744"/>
      <c r="R22" s="143"/>
      <c r="S22" s="678" t="s">
        <v>304</v>
      </c>
      <c r="T22" s="678"/>
      <c r="U22" s="678"/>
      <c r="V22" s="678"/>
      <c r="W22" s="678"/>
      <c r="X22" s="678"/>
      <c r="Y22" s="678"/>
      <c r="Z22" s="145"/>
      <c r="AA22" s="679" t="s">
        <v>202</v>
      </c>
      <c r="AB22" s="679"/>
      <c r="AC22" s="680"/>
      <c r="AD22" s="682"/>
      <c r="AE22" s="682"/>
      <c r="AF22" s="682"/>
      <c r="AG22" s="682"/>
      <c r="AH22" s="682"/>
      <c r="AI22" s="682"/>
      <c r="AJ22" s="682"/>
      <c r="AK22" s="682"/>
      <c r="AL22" s="682"/>
      <c r="AM22" s="682"/>
      <c r="AN22" s="682"/>
      <c r="AO22" s="674" t="s">
        <v>302</v>
      </c>
      <c r="AP22" s="675"/>
      <c r="AQ22" s="142"/>
      <c r="AR22" s="121"/>
      <c r="AW22" s="116" t="s">
        <v>210</v>
      </c>
      <c r="AX22" s="116" t="s">
        <v>211</v>
      </c>
      <c r="AY22" s="116" t="s">
        <v>212</v>
      </c>
      <c r="AZ22" s="116">
        <v>15</v>
      </c>
    </row>
    <row r="23" spans="2:52" ht="18" customHeight="1">
      <c r="B23" s="120"/>
      <c r="E23" s="729"/>
      <c r="F23" s="730"/>
      <c r="G23" s="731"/>
      <c r="H23" s="676"/>
      <c r="I23" s="676"/>
      <c r="J23" s="676"/>
      <c r="K23" s="120"/>
      <c r="O23" s="121"/>
      <c r="P23" s="744"/>
      <c r="Q23" s="744"/>
      <c r="R23" s="143"/>
      <c r="S23" s="678" t="s">
        <v>305</v>
      </c>
      <c r="T23" s="678"/>
      <c r="U23" s="678"/>
      <c r="V23" s="678"/>
      <c r="W23" s="678"/>
      <c r="X23" s="678"/>
      <c r="Y23" s="678"/>
      <c r="Z23" s="145"/>
      <c r="AA23" s="679" t="s">
        <v>202</v>
      </c>
      <c r="AB23" s="679"/>
      <c r="AC23" s="680"/>
      <c r="AD23" s="682"/>
      <c r="AE23" s="682"/>
      <c r="AF23" s="682"/>
      <c r="AG23" s="682"/>
      <c r="AH23" s="682"/>
      <c r="AI23" s="682"/>
      <c r="AJ23" s="682"/>
      <c r="AK23" s="682"/>
      <c r="AL23" s="682"/>
      <c r="AM23" s="682"/>
      <c r="AN23" s="682"/>
      <c r="AO23" s="674" t="s">
        <v>302</v>
      </c>
      <c r="AP23" s="675"/>
      <c r="AQ23" s="142"/>
      <c r="AR23" s="121"/>
      <c r="AW23" s="116" t="s">
        <v>213</v>
      </c>
      <c r="AX23" s="116" t="s">
        <v>214</v>
      </c>
      <c r="AY23" s="116" t="s">
        <v>31</v>
      </c>
      <c r="AZ23" s="116">
        <v>16</v>
      </c>
    </row>
    <row r="24" spans="2:52" ht="18" customHeight="1">
      <c r="B24" s="120"/>
      <c r="E24" s="729"/>
      <c r="F24" s="730"/>
      <c r="G24" s="731"/>
      <c r="H24" s="676"/>
      <c r="I24" s="676"/>
      <c r="J24" s="676"/>
      <c r="K24" s="120"/>
      <c r="O24" s="121"/>
      <c r="P24" s="744"/>
      <c r="Q24" s="744"/>
      <c r="R24" s="143"/>
      <c r="S24" s="678" t="s">
        <v>306</v>
      </c>
      <c r="T24" s="678"/>
      <c r="U24" s="678"/>
      <c r="V24" s="678"/>
      <c r="W24" s="678"/>
      <c r="X24" s="678"/>
      <c r="Y24" s="678"/>
      <c r="Z24" s="145"/>
      <c r="AA24" s="679" t="s">
        <v>202</v>
      </c>
      <c r="AB24" s="679"/>
      <c r="AC24" s="680"/>
      <c r="AD24" s="681"/>
      <c r="AE24" s="681"/>
      <c r="AF24" s="681"/>
      <c r="AG24" s="681"/>
      <c r="AH24" s="681"/>
      <c r="AI24" s="681"/>
      <c r="AJ24" s="681"/>
      <c r="AK24" s="681"/>
      <c r="AL24" s="681"/>
      <c r="AM24" s="681"/>
      <c r="AN24" s="681"/>
      <c r="AO24" s="674" t="s">
        <v>302</v>
      </c>
      <c r="AP24" s="675"/>
      <c r="AQ24" s="142"/>
      <c r="AR24" s="121"/>
      <c r="AW24" s="116" t="s">
        <v>215</v>
      </c>
      <c r="AX24" s="116" t="s">
        <v>216</v>
      </c>
      <c r="AY24" s="116" t="s">
        <v>217</v>
      </c>
      <c r="AZ24" s="116">
        <v>17</v>
      </c>
    </row>
    <row r="25" spans="2:52" ht="18" customHeight="1">
      <c r="B25" s="120"/>
      <c r="E25" s="729"/>
      <c r="F25" s="730"/>
      <c r="G25" s="731"/>
      <c r="H25" s="676"/>
      <c r="I25" s="676"/>
      <c r="J25" s="676"/>
      <c r="K25" s="120"/>
      <c r="O25" s="121"/>
      <c r="P25" s="744"/>
      <c r="Q25" s="744"/>
      <c r="R25" s="143"/>
      <c r="S25" s="678" t="s">
        <v>307</v>
      </c>
      <c r="T25" s="678"/>
      <c r="U25" s="678"/>
      <c r="V25" s="678"/>
      <c r="W25" s="678"/>
      <c r="X25" s="678"/>
      <c r="Y25" s="678"/>
      <c r="Z25" s="145"/>
      <c r="AA25" s="679" t="s">
        <v>202</v>
      </c>
      <c r="AB25" s="679"/>
      <c r="AC25" s="680"/>
      <c r="AD25" s="681"/>
      <c r="AE25" s="681"/>
      <c r="AF25" s="681"/>
      <c r="AG25" s="681"/>
      <c r="AH25" s="681"/>
      <c r="AI25" s="681"/>
      <c r="AJ25" s="681"/>
      <c r="AK25" s="681"/>
      <c r="AL25" s="681"/>
      <c r="AM25" s="681"/>
      <c r="AN25" s="681"/>
      <c r="AO25" s="674" t="s">
        <v>302</v>
      </c>
      <c r="AP25" s="675"/>
      <c r="AQ25" s="142"/>
      <c r="AR25" s="121"/>
      <c r="AW25" s="116" t="s">
        <v>218</v>
      </c>
      <c r="AX25" s="116" t="s">
        <v>219</v>
      </c>
      <c r="AY25" s="116" t="s">
        <v>220</v>
      </c>
      <c r="AZ25" s="116">
        <v>18</v>
      </c>
    </row>
    <row r="26" spans="2:52" ht="18" customHeight="1">
      <c r="B26" s="120"/>
      <c r="E26" s="729"/>
      <c r="F26" s="730"/>
      <c r="G26" s="731"/>
      <c r="H26" s="676"/>
      <c r="I26" s="676"/>
      <c r="J26" s="676"/>
      <c r="K26" s="120"/>
      <c r="O26" s="121"/>
      <c r="P26" s="744"/>
      <c r="Q26" s="744"/>
      <c r="R26" s="143"/>
      <c r="S26" s="678" t="s">
        <v>308</v>
      </c>
      <c r="T26" s="678"/>
      <c r="U26" s="678"/>
      <c r="V26" s="678"/>
      <c r="W26" s="678"/>
      <c r="X26" s="678"/>
      <c r="Y26" s="678"/>
      <c r="Z26" s="145"/>
      <c r="AA26" s="679" t="s">
        <v>202</v>
      </c>
      <c r="AB26" s="679"/>
      <c r="AC26" s="680"/>
      <c r="AD26" s="681"/>
      <c r="AE26" s="681"/>
      <c r="AF26" s="681"/>
      <c r="AG26" s="681"/>
      <c r="AH26" s="681"/>
      <c r="AI26" s="681"/>
      <c r="AJ26" s="681"/>
      <c r="AK26" s="681"/>
      <c r="AL26" s="681"/>
      <c r="AM26" s="681"/>
      <c r="AN26" s="681"/>
      <c r="AO26" s="674" t="s">
        <v>302</v>
      </c>
      <c r="AP26" s="675"/>
      <c r="AQ26" s="142"/>
      <c r="AR26" s="121"/>
      <c r="AW26" s="116" t="s">
        <v>221</v>
      </c>
      <c r="AX26" s="116" t="s">
        <v>222</v>
      </c>
      <c r="AY26" s="116" t="s">
        <v>32</v>
      </c>
      <c r="AZ26" s="116">
        <v>19</v>
      </c>
    </row>
    <row r="27" spans="2:52" ht="18" customHeight="1">
      <c r="B27" s="120"/>
      <c r="E27" s="729"/>
      <c r="F27" s="730"/>
      <c r="G27" s="731"/>
      <c r="H27" s="676"/>
      <c r="I27" s="676"/>
      <c r="J27" s="676"/>
      <c r="K27" s="120"/>
      <c r="O27" s="121"/>
      <c r="P27" s="744"/>
      <c r="Q27" s="744"/>
      <c r="R27" s="143"/>
      <c r="S27" s="678" t="s">
        <v>309</v>
      </c>
      <c r="T27" s="678"/>
      <c r="U27" s="678"/>
      <c r="V27" s="678"/>
      <c r="W27" s="678"/>
      <c r="X27" s="678"/>
      <c r="Y27" s="678"/>
      <c r="Z27" s="145"/>
      <c r="AA27" s="679" t="s">
        <v>202</v>
      </c>
      <c r="AB27" s="679"/>
      <c r="AC27" s="680"/>
      <c r="AD27" s="681"/>
      <c r="AE27" s="681"/>
      <c r="AF27" s="681"/>
      <c r="AG27" s="681"/>
      <c r="AH27" s="681"/>
      <c r="AI27" s="681"/>
      <c r="AJ27" s="681"/>
      <c r="AK27" s="681"/>
      <c r="AL27" s="681"/>
      <c r="AM27" s="681"/>
      <c r="AN27" s="681"/>
      <c r="AO27" s="674" t="s">
        <v>302</v>
      </c>
      <c r="AP27" s="675"/>
      <c r="AQ27" s="142"/>
      <c r="AR27" s="121"/>
      <c r="AW27" s="116" t="s">
        <v>223</v>
      </c>
      <c r="AX27" s="116" t="s">
        <v>224</v>
      </c>
      <c r="AY27" s="116" t="s">
        <v>225</v>
      </c>
      <c r="AZ27" s="116">
        <v>20</v>
      </c>
    </row>
    <row r="28" spans="2:52" ht="18" customHeight="1">
      <c r="B28" s="120"/>
      <c r="E28" s="729"/>
      <c r="F28" s="730"/>
      <c r="G28" s="731"/>
      <c r="H28" s="676"/>
      <c r="I28" s="676"/>
      <c r="J28" s="676"/>
      <c r="K28" s="120"/>
      <c r="O28" s="121"/>
      <c r="P28" s="744"/>
      <c r="Q28" s="744"/>
      <c r="R28" s="143"/>
      <c r="S28" s="678" t="s">
        <v>310</v>
      </c>
      <c r="T28" s="678"/>
      <c r="U28" s="678"/>
      <c r="V28" s="678"/>
      <c r="W28" s="678"/>
      <c r="X28" s="678"/>
      <c r="Y28" s="678"/>
      <c r="Z28" s="145"/>
      <c r="AA28" s="679" t="s">
        <v>202</v>
      </c>
      <c r="AB28" s="679"/>
      <c r="AC28" s="680"/>
      <c r="AD28" s="682"/>
      <c r="AE28" s="682"/>
      <c r="AF28" s="682"/>
      <c r="AG28" s="682"/>
      <c r="AH28" s="682"/>
      <c r="AI28" s="682"/>
      <c r="AJ28" s="682"/>
      <c r="AK28" s="682"/>
      <c r="AL28" s="682"/>
      <c r="AM28" s="682"/>
      <c r="AN28" s="682"/>
      <c r="AO28" s="674" t="s">
        <v>302</v>
      </c>
      <c r="AP28" s="675"/>
      <c r="AQ28" s="142"/>
      <c r="AR28" s="121"/>
      <c r="AY28" s="116" t="s">
        <v>226</v>
      </c>
      <c r="AZ28" s="116">
        <v>21</v>
      </c>
    </row>
    <row r="29" spans="2:52" ht="18" customHeight="1">
      <c r="B29" s="120"/>
      <c r="E29" s="729"/>
      <c r="F29" s="730"/>
      <c r="G29" s="731"/>
      <c r="H29" s="676"/>
      <c r="I29" s="676"/>
      <c r="J29" s="676"/>
      <c r="K29" s="120"/>
      <c r="O29" s="121"/>
      <c r="P29" s="744"/>
      <c r="Q29" s="744"/>
      <c r="R29" s="143"/>
      <c r="S29" s="678" t="s">
        <v>311</v>
      </c>
      <c r="T29" s="678"/>
      <c r="U29" s="678"/>
      <c r="V29" s="678"/>
      <c r="W29" s="678"/>
      <c r="X29" s="678"/>
      <c r="Y29" s="678"/>
      <c r="Z29" s="145"/>
      <c r="AA29" s="679" t="s">
        <v>202</v>
      </c>
      <c r="AB29" s="679"/>
      <c r="AC29" s="680"/>
      <c r="AD29" s="682"/>
      <c r="AE29" s="682"/>
      <c r="AF29" s="682"/>
      <c r="AG29" s="682"/>
      <c r="AH29" s="682"/>
      <c r="AI29" s="682"/>
      <c r="AJ29" s="682"/>
      <c r="AK29" s="682"/>
      <c r="AL29" s="682"/>
      <c r="AM29" s="682"/>
      <c r="AN29" s="682"/>
      <c r="AO29" s="674" t="s">
        <v>302</v>
      </c>
      <c r="AP29" s="675"/>
      <c r="AQ29" s="142"/>
      <c r="AR29" s="121"/>
      <c r="AY29" s="116" t="s">
        <v>227</v>
      </c>
      <c r="AZ29" s="116">
        <v>22</v>
      </c>
    </row>
    <row r="30" spans="2:52" ht="18" customHeight="1">
      <c r="B30" s="120"/>
      <c r="E30" s="729"/>
      <c r="F30" s="730"/>
      <c r="G30" s="731"/>
      <c r="H30" s="676"/>
      <c r="I30" s="676"/>
      <c r="J30" s="676"/>
      <c r="K30" s="120"/>
      <c r="O30" s="121"/>
      <c r="P30" s="744"/>
      <c r="Q30" s="744"/>
      <c r="R30" s="143"/>
      <c r="S30" s="678" t="s">
        <v>312</v>
      </c>
      <c r="T30" s="678"/>
      <c r="U30" s="678"/>
      <c r="V30" s="678"/>
      <c r="W30" s="678"/>
      <c r="X30" s="678"/>
      <c r="Y30" s="678"/>
      <c r="Z30" s="144"/>
      <c r="AA30" s="679" t="s">
        <v>202</v>
      </c>
      <c r="AB30" s="679"/>
      <c r="AC30" s="680"/>
      <c r="AD30" s="682"/>
      <c r="AE30" s="682"/>
      <c r="AF30" s="682"/>
      <c r="AG30" s="682"/>
      <c r="AH30" s="682"/>
      <c r="AI30" s="682"/>
      <c r="AJ30" s="682"/>
      <c r="AK30" s="682"/>
      <c r="AL30" s="682"/>
      <c r="AM30" s="682"/>
      <c r="AN30" s="682"/>
      <c r="AO30" s="674" t="s">
        <v>302</v>
      </c>
      <c r="AP30" s="675"/>
      <c r="AQ30" s="142"/>
      <c r="AR30" s="121"/>
      <c r="AY30" s="116" t="s">
        <v>228</v>
      </c>
      <c r="AZ30" s="116">
        <v>23</v>
      </c>
    </row>
    <row r="31" spans="2:52" ht="18" customHeight="1">
      <c r="B31" s="120"/>
      <c r="E31" s="732"/>
      <c r="F31" s="733"/>
      <c r="G31" s="734"/>
      <c r="H31" s="676"/>
      <c r="I31" s="676"/>
      <c r="J31" s="676"/>
      <c r="K31" s="146"/>
      <c r="L31" s="147"/>
      <c r="M31" s="147"/>
      <c r="N31" s="147"/>
      <c r="O31" s="148"/>
      <c r="P31" s="744"/>
      <c r="Q31" s="744"/>
      <c r="R31" s="143"/>
      <c r="S31" s="678" t="s">
        <v>471</v>
      </c>
      <c r="T31" s="678"/>
      <c r="U31" s="678"/>
      <c r="V31" s="678"/>
      <c r="W31" s="678"/>
      <c r="X31" s="678"/>
      <c r="Y31" s="678"/>
      <c r="Z31" s="145"/>
      <c r="AA31" s="679" t="s">
        <v>202</v>
      </c>
      <c r="AB31" s="679"/>
      <c r="AC31" s="680"/>
      <c r="AD31" s="682"/>
      <c r="AE31" s="682"/>
      <c r="AF31" s="682"/>
      <c r="AG31" s="682"/>
      <c r="AH31" s="682"/>
      <c r="AI31" s="682"/>
      <c r="AJ31" s="682"/>
      <c r="AK31" s="682"/>
      <c r="AL31" s="682"/>
      <c r="AM31" s="682"/>
      <c r="AN31" s="682"/>
      <c r="AO31" s="674" t="s">
        <v>302</v>
      </c>
      <c r="AP31" s="675"/>
      <c r="AQ31" s="142"/>
      <c r="AR31" s="121"/>
      <c r="AY31" s="116" t="s">
        <v>229</v>
      </c>
      <c r="AZ31" s="116">
        <v>24</v>
      </c>
    </row>
    <row r="32" spans="2:52" ht="164.25" customHeight="1" thickBot="1">
      <c r="B32" s="120"/>
      <c r="E32" s="149"/>
      <c r="F32" s="745" t="s">
        <v>313</v>
      </c>
      <c r="G32" s="745"/>
      <c r="H32" s="745"/>
      <c r="I32" s="745"/>
      <c r="J32" s="745"/>
      <c r="K32" s="745"/>
      <c r="L32" s="745"/>
      <c r="M32" s="745"/>
      <c r="N32" s="745"/>
      <c r="O32" s="745"/>
      <c r="P32" s="745"/>
      <c r="Q32" s="150"/>
      <c r="R32" s="746"/>
      <c r="S32" s="747"/>
      <c r="T32" s="747"/>
      <c r="U32" s="747"/>
      <c r="V32" s="747"/>
      <c r="W32" s="747"/>
      <c r="X32" s="747"/>
      <c r="Y32" s="747"/>
      <c r="Z32" s="747"/>
      <c r="AA32" s="747"/>
      <c r="AB32" s="747"/>
      <c r="AC32" s="747"/>
      <c r="AD32" s="747"/>
      <c r="AE32" s="747"/>
      <c r="AF32" s="747"/>
      <c r="AG32" s="747"/>
      <c r="AH32" s="747"/>
      <c r="AI32" s="747"/>
      <c r="AJ32" s="747"/>
      <c r="AK32" s="747"/>
      <c r="AL32" s="747"/>
      <c r="AM32" s="747"/>
      <c r="AN32" s="747"/>
      <c r="AO32" s="747"/>
      <c r="AP32" s="748"/>
      <c r="AQ32" s="151"/>
      <c r="AR32" s="121"/>
      <c r="AY32" s="116" t="s">
        <v>230</v>
      </c>
      <c r="AZ32" s="116">
        <v>25</v>
      </c>
    </row>
    <row r="33" spans="2:52" ht="12" customHeight="1">
      <c r="B33" s="120"/>
      <c r="AR33" s="121"/>
      <c r="AY33" s="116" t="s">
        <v>231</v>
      </c>
      <c r="AZ33" s="116">
        <v>26</v>
      </c>
    </row>
    <row r="34" spans="2:52" ht="18.75" customHeight="1" thickBot="1">
      <c r="B34" s="120"/>
      <c r="E34" s="116" t="s">
        <v>452</v>
      </c>
      <c r="AQ34" s="142"/>
      <c r="AR34" s="121"/>
      <c r="AY34" s="116" t="s">
        <v>468</v>
      </c>
      <c r="AZ34" s="116">
        <v>27</v>
      </c>
    </row>
    <row r="35" spans="2:52" ht="24.75" customHeight="1" thickBot="1">
      <c r="B35" s="120"/>
      <c r="E35" s="129"/>
      <c r="F35" s="662" t="s">
        <v>515</v>
      </c>
      <c r="G35" s="662"/>
      <c r="H35" s="662"/>
      <c r="I35" s="662"/>
      <c r="J35" s="662"/>
      <c r="K35" s="662"/>
      <c r="L35" s="662"/>
      <c r="M35" s="662"/>
      <c r="N35" s="662"/>
      <c r="O35" s="662"/>
      <c r="P35" s="662"/>
      <c r="Q35" s="130"/>
      <c r="R35" s="663"/>
      <c r="S35" s="664"/>
      <c r="T35" s="664"/>
      <c r="U35" s="664"/>
      <c r="V35" s="665"/>
      <c r="W35" s="666" t="s">
        <v>316</v>
      </c>
      <c r="X35" s="666"/>
      <c r="Y35" s="667">
        <f>IF(AND(R35&lt;&gt;"",R35&lt;2015),5,3)</f>
        <v>3</v>
      </c>
      <c r="Z35" s="667"/>
      <c r="AA35" s="666" t="s">
        <v>317</v>
      </c>
      <c r="AB35" s="668"/>
      <c r="AQ35" s="142"/>
      <c r="AR35" s="121"/>
    </row>
    <row r="36" spans="2:52" ht="24" customHeight="1">
      <c r="B36" s="120"/>
      <c r="E36" s="152"/>
      <c r="F36" s="687" t="s">
        <v>232</v>
      </c>
      <c r="G36" s="687"/>
      <c r="H36" s="687"/>
      <c r="I36" s="687"/>
      <c r="J36" s="687"/>
      <c r="K36" s="687"/>
      <c r="L36" s="687"/>
      <c r="M36" s="687"/>
      <c r="N36" s="687"/>
      <c r="O36" s="687"/>
      <c r="P36" s="687"/>
      <c r="Q36" s="121"/>
      <c r="R36" s="153"/>
      <c r="S36" s="688" t="s">
        <v>464</v>
      </c>
      <c r="T36" s="688"/>
      <c r="U36" s="688"/>
      <c r="V36" s="688"/>
      <c r="W36" s="688"/>
      <c r="X36" s="688"/>
      <c r="Y36" s="688"/>
      <c r="Z36" s="689">
        <v>5000</v>
      </c>
      <c r="AA36" s="689"/>
      <c r="AB36" s="689"/>
      <c r="AC36" s="690"/>
      <c r="AD36" s="690"/>
      <c r="AE36" s="690"/>
      <c r="AF36" s="690"/>
      <c r="AG36" s="690"/>
      <c r="AH36" s="669" t="s">
        <v>302</v>
      </c>
      <c r="AI36" s="669"/>
      <c r="AJ36" s="669"/>
      <c r="AK36" s="669" t="s">
        <v>28</v>
      </c>
      <c r="AL36" s="669"/>
      <c r="AM36" s="670"/>
      <c r="AN36" s="691" t="str">
        <f>IF(AD20="","",IF(AD20&gt;=5000,"○",""))</f>
        <v/>
      </c>
      <c r="AO36" s="692"/>
      <c r="AP36" s="693"/>
      <c r="AQ36" s="142"/>
      <c r="AR36" s="121"/>
      <c r="AY36" s="116" t="s">
        <v>469</v>
      </c>
      <c r="AZ36" s="116">
        <v>28</v>
      </c>
    </row>
    <row r="37" spans="2:52" ht="24" customHeight="1" thickBot="1">
      <c r="B37" s="120"/>
      <c r="E37" s="149"/>
      <c r="F37" s="686" t="s">
        <v>233</v>
      </c>
      <c r="G37" s="686"/>
      <c r="H37" s="686"/>
      <c r="I37" s="686"/>
      <c r="J37" s="686"/>
      <c r="K37" s="686"/>
      <c r="L37" s="686"/>
      <c r="M37" s="686"/>
      <c r="N37" s="686"/>
      <c r="O37" s="686"/>
      <c r="P37" s="686"/>
      <c r="Q37" s="150"/>
      <c r="R37" s="154"/>
      <c r="S37" s="697" t="s">
        <v>467</v>
      </c>
      <c r="T37" s="697"/>
      <c r="U37" s="697"/>
      <c r="V37" s="697"/>
      <c r="W37" s="697"/>
      <c r="X37" s="697"/>
      <c r="Y37" s="697"/>
      <c r="Z37" s="698">
        <v>6000</v>
      </c>
      <c r="AA37" s="698"/>
      <c r="AB37" s="698"/>
      <c r="AC37" s="698"/>
      <c r="AD37" s="698"/>
      <c r="AE37" s="698"/>
      <c r="AF37" s="698"/>
      <c r="AG37" s="698"/>
      <c r="AH37" s="683" t="s">
        <v>150</v>
      </c>
      <c r="AI37" s="683"/>
      <c r="AJ37" s="683"/>
      <c r="AK37" s="683" t="s">
        <v>28</v>
      </c>
      <c r="AL37" s="683"/>
      <c r="AM37" s="684"/>
      <c r="AN37" s="694" t="str">
        <f>IF('その5（非公表）'!M55="","",IF('その5（非公表）'!M55&gt;=6000,"○",""))</f>
        <v/>
      </c>
      <c r="AO37" s="695"/>
      <c r="AP37" s="696"/>
      <c r="AQ37" s="142"/>
      <c r="AR37" s="121"/>
      <c r="AY37" s="116" t="s">
        <v>470</v>
      </c>
      <c r="AZ37" s="116">
        <v>29</v>
      </c>
    </row>
    <row r="38" spans="2:52" ht="24" customHeight="1">
      <c r="B38" s="120"/>
      <c r="F38" s="155"/>
      <c r="G38" s="155"/>
      <c r="H38" s="155"/>
      <c r="I38" s="155"/>
      <c r="J38" s="155"/>
      <c r="K38" s="155"/>
      <c r="L38" s="155"/>
      <c r="M38" s="155"/>
      <c r="N38" s="155"/>
      <c r="O38" s="155"/>
      <c r="P38" s="155"/>
      <c r="R38" s="156"/>
      <c r="S38" s="157"/>
      <c r="T38" s="158"/>
      <c r="U38" s="158"/>
      <c r="V38" s="158"/>
      <c r="W38" s="158"/>
      <c r="X38" s="158"/>
      <c r="Y38" s="158"/>
      <c r="Z38" s="159"/>
      <c r="AA38" s="159"/>
      <c r="AB38" s="159"/>
      <c r="AC38" s="159"/>
      <c r="AD38" s="159"/>
      <c r="AE38" s="159"/>
      <c r="AF38" s="159"/>
      <c r="AG38" s="159"/>
      <c r="AH38" s="159"/>
      <c r="AI38" s="159"/>
      <c r="AJ38" s="159"/>
      <c r="AK38" s="159"/>
      <c r="AL38" s="160"/>
      <c r="AM38" s="159"/>
      <c r="AN38" s="161"/>
      <c r="AO38" s="142"/>
      <c r="AP38" s="142"/>
      <c r="AQ38" s="142"/>
      <c r="AR38" s="121"/>
      <c r="AY38" s="116" t="s">
        <v>234</v>
      </c>
      <c r="AZ38" s="116">
        <v>30</v>
      </c>
    </row>
    <row r="39" spans="2:52" ht="3" customHeight="1">
      <c r="B39" s="146"/>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8"/>
      <c r="AY39" s="116" t="s">
        <v>235</v>
      </c>
      <c r="AZ39" s="116">
        <v>31</v>
      </c>
    </row>
    <row r="40" spans="2:52" ht="12" customHeight="1">
      <c r="AR40" s="162" t="s">
        <v>478</v>
      </c>
      <c r="AY40" s="116" t="s">
        <v>236</v>
      </c>
      <c r="AZ40" s="116">
        <v>32</v>
      </c>
    </row>
    <row r="41" spans="2:52">
      <c r="AY41" s="116" t="s">
        <v>237</v>
      </c>
      <c r="AZ41" s="116">
        <v>33</v>
      </c>
    </row>
    <row r="42" spans="2:52">
      <c r="AY42" s="116" t="s">
        <v>238</v>
      </c>
      <c r="AZ42" s="116">
        <v>34</v>
      </c>
    </row>
    <row r="43" spans="2:52">
      <c r="AY43" s="116" t="s">
        <v>239</v>
      </c>
      <c r="AZ43" s="116">
        <v>35</v>
      </c>
    </row>
    <row r="44" spans="2:52">
      <c r="AY44" s="116" t="s">
        <v>240</v>
      </c>
      <c r="AZ44" s="116">
        <v>36</v>
      </c>
    </row>
    <row r="45" spans="2:52">
      <c r="AY45" s="116" t="s">
        <v>241</v>
      </c>
      <c r="AZ45" s="116">
        <v>37</v>
      </c>
    </row>
    <row r="46" spans="2:52">
      <c r="AY46" s="116" t="s">
        <v>242</v>
      </c>
      <c r="AZ46" s="116">
        <v>38</v>
      </c>
    </row>
    <row r="47" spans="2:52">
      <c r="AY47" s="116" t="s">
        <v>243</v>
      </c>
      <c r="AZ47" s="116">
        <v>39</v>
      </c>
    </row>
    <row r="48" spans="2:52">
      <c r="AY48" s="116" t="s">
        <v>244</v>
      </c>
      <c r="AZ48" s="116">
        <v>40</v>
      </c>
    </row>
    <row r="49" spans="51:52">
      <c r="AY49" s="116" t="s">
        <v>245</v>
      </c>
      <c r="AZ49" s="116">
        <v>41</v>
      </c>
    </row>
    <row r="50" spans="51:52" ht="9" customHeight="1">
      <c r="AY50" s="116" t="s">
        <v>246</v>
      </c>
      <c r="AZ50" s="116">
        <v>42</v>
      </c>
    </row>
    <row r="51" spans="51:52" ht="9" customHeight="1">
      <c r="AY51" s="116" t="s">
        <v>247</v>
      </c>
      <c r="AZ51" s="116">
        <v>43</v>
      </c>
    </row>
    <row r="52" spans="51:52">
      <c r="AY52" s="116" t="s">
        <v>248</v>
      </c>
      <c r="AZ52" s="116">
        <v>44</v>
      </c>
    </row>
    <row r="53" spans="51:52">
      <c r="AY53" s="116" t="s">
        <v>249</v>
      </c>
      <c r="AZ53" s="116">
        <v>45</v>
      </c>
    </row>
    <row r="54" spans="51:52">
      <c r="AY54" s="116" t="s">
        <v>250</v>
      </c>
      <c r="AZ54" s="116">
        <v>46</v>
      </c>
    </row>
    <row r="55" spans="51:52">
      <c r="AY55" s="116" t="s">
        <v>251</v>
      </c>
      <c r="AZ55" s="116">
        <v>47</v>
      </c>
    </row>
    <row r="56" spans="51:52">
      <c r="AY56" s="116" t="s">
        <v>252</v>
      </c>
      <c r="AZ56" s="116">
        <v>48</v>
      </c>
    </row>
    <row r="57" spans="51:52">
      <c r="AY57" s="116" t="s">
        <v>253</v>
      </c>
      <c r="AZ57" s="116">
        <v>49</v>
      </c>
    </row>
    <row r="58" spans="51:52">
      <c r="AY58" s="116" t="s">
        <v>33</v>
      </c>
      <c r="AZ58" s="116">
        <v>50</v>
      </c>
    </row>
    <row r="59" spans="51:52">
      <c r="AY59" s="116" t="s">
        <v>254</v>
      </c>
      <c r="AZ59" s="116">
        <v>51</v>
      </c>
    </row>
    <row r="60" spans="51:52">
      <c r="AY60" s="116" t="s">
        <v>255</v>
      </c>
      <c r="AZ60" s="116">
        <v>52</v>
      </c>
    </row>
    <row r="61" spans="51:52">
      <c r="AY61" s="116" t="s">
        <v>256</v>
      </c>
      <c r="AZ61" s="116">
        <v>53</v>
      </c>
    </row>
    <row r="62" spans="51:52">
      <c r="AY62" s="116" t="s">
        <v>257</v>
      </c>
      <c r="AZ62" s="116">
        <v>54</v>
      </c>
    </row>
    <row r="63" spans="51:52">
      <c r="AY63" s="116" t="s">
        <v>258</v>
      </c>
      <c r="AZ63" s="116">
        <v>55</v>
      </c>
    </row>
    <row r="64" spans="51:52">
      <c r="AY64" s="116" t="s">
        <v>259</v>
      </c>
      <c r="AZ64" s="116">
        <v>56</v>
      </c>
    </row>
    <row r="65" spans="51:52">
      <c r="AY65" s="116" t="s">
        <v>260</v>
      </c>
      <c r="AZ65" s="116">
        <v>57</v>
      </c>
    </row>
    <row r="66" spans="51:52">
      <c r="AY66" s="116" t="s">
        <v>261</v>
      </c>
      <c r="AZ66" s="116">
        <v>58</v>
      </c>
    </row>
    <row r="67" spans="51:52">
      <c r="AY67" s="116" t="s">
        <v>262</v>
      </c>
      <c r="AZ67" s="116">
        <v>59</v>
      </c>
    </row>
    <row r="68" spans="51:52">
      <c r="AY68" s="116" t="s">
        <v>263</v>
      </c>
      <c r="AZ68" s="116">
        <v>60</v>
      </c>
    </row>
    <row r="69" spans="51:52">
      <c r="AY69" s="116" t="s">
        <v>264</v>
      </c>
      <c r="AZ69" s="116">
        <v>61</v>
      </c>
    </row>
    <row r="70" spans="51:52">
      <c r="AY70" s="116" t="s">
        <v>265</v>
      </c>
      <c r="AZ70" s="116">
        <v>62</v>
      </c>
    </row>
    <row r="71" spans="51:52">
      <c r="AY71" s="116" t="s">
        <v>266</v>
      </c>
      <c r="AZ71" s="116">
        <v>63</v>
      </c>
    </row>
    <row r="72" spans="51:52">
      <c r="AY72" s="116" t="s">
        <v>267</v>
      </c>
      <c r="AZ72" s="116">
        <v>64</v>
      </c>
    </row>
    <row r="73" spans="51:52">
      <c r="AY73" s="116" t="s">
        <v>268</v>
      </c>
      <c r="AZ73" s="116">
        <v>65</v>
      </c>
    </row>
    <row r="74" spans="51:52">
      <c r="AY74" s="116" t="s">
        <v>269</v>
      </c>
      <c r="AZ74" s="116">
        <v>66</v>
      </c>
    </row>
    <row r="75" spans="51:52">
      <c r="AY75" s="116" t="s">
        <v>270</v>
      </c>
      <c r="AZ75" s="116">
        <v>67</v>
      </c>
    </row>
    <row r="76" spans="51:52">
      <c r="AY76" s="116" t="s">
        <v>271</v>
      </c>
      <c r="AZ76" s="116">
        <v>68</v>
      </c>
    </row>
    <row r="77" spans="51:52">
      <c r="AY77" s="116" t="s">
        <v>272</v>
      </c>
      <c r="AZ77" s="116">
        <v>69</v>
      </c>
    </row>
    <row r="78" spans="51:52">
      <c r="AY78" s="116" t="s">
        <v>273</v>
      </c>
      <c r="AZ78" s="116">
        <v>70</v>
      </c>
    </row>
    <row r="79" spans="51:52">
      <c r="AY79" s="116" t="s">
        <v>274</v>
      </c>
      <c r="AZ79" s="116">
        <v>71</v>
      </c>
    </row>
    <row r="80" spans="51:52">
      <c r="AY80" s="116" t="s">
        <v>275</v>
      </c>
      <c r="AZ80" s="116">
        <v>72</v>
      </c>
    </row>
    <row r="81" spans="51:52">
      <c r="AY81" s="116" t="s">
        <v>34</v>
      </c>
      <c r="AZ81" s="116">
        <v>73</v>
      </c>
    </row>
    <row r="82" spans="51:52">
      <c r="AY82" s="116" t="s">
        <v>35</v>
      </c>
      <c r="AZ82" s="116">
        <v>74</v>
      </c>
    </row>
    <row r="83" spans="51:52">
      <c r="AY83" s="116" t="s">
        <v>36</v>
      </c>
      <c r="AZ83" s="116">
        <v>75</v>
      </c>
    </row>
    <row r="84" spans="51:52">
      <c r="AY84" s="116" t="s">
        <v>276</v>
      </c>
      <c r="AZ84" s="116">
        <v>76</v>
      </c>
    </row>
    <row r="85" spans="51:52">
      <c r="AY85" s="116" t="s">
        <v>277</v>
      </c>
      <c r="AZ85" s="116">
        <v>77</v>
      </c>
    </row>
    <row r="86" spans="51:52">
      <c r="AY86" s="116" t="s">
        <v>278</v>
      </c>
      <c r="AZ86" s="116">
        <v>78</v>
      </c>
    </row>
    <row r="87" spans="51:52">
      <c r="AY87" s="116" t="s">
        <v>279</v>
      </c>
      <c r="AZ87" s="116">
        <v>79</v>
      </c>
    </row>
    <row r="88" spans="51:52">
      <c r="AY88" s="116" t="s">
        <v>280</v>
      </c>
      <c r="AZ88" s="116">
        <v>80</v>
      </c>
    </row>
    <row r="89" spans="51:52">
      <c r="AY89" s="116" t="s">
        <v>281</v>
      </c>
      <c r="AZ89" s="116">
        <v>81</v>
      </c>
    </row>
    <row r="90" spans="51:52">
      <c r="AY90" s="116" t="s">
        <v>282</v>
      </c>
      <c r="AZ90" s="116">
        <v>82</v>
      </c>
    </row>
    <row r="91" spans="51:52">
      <c r="AY91" s="116" t="s">
        <v>283</v>
      </c>
      <c r="AZ91" s="116">
        <v>83</v>
      </c>
    </row>
    <row r="92" spans="51:52">
      <c r="AY92" s="116" t="s">
        <v>284</v>
      </c>
      <c r="AZ92" s="116">
        <v>84</v>
      </c>
    </row>
    <row r="93" spans="51:52">
      <c r="AY93" s="116" t="s">
        <v>285</v>
      </c>
      <c r="AZ93" s="116">
        <v>85</v>
      </c>
    </row>
    <row r="94" spans="51:52">
      <c r="AY94" s="116" t="s">
        <v>286</v>
      </c>
      <c r="AZ94" s="116">
        <v>86</v>
      </c>
    </row>
    <row r="95" spans="51:52">
      <c r="AY95" s="116" t="s">
        <v>287</v>
      </c>
      <c r="AZ95" s="116">
        <v>87</v>
      </c>
    </row>
    <row r="96" spans="51:52">
      <c r="AY96" s="116" t="s">
        <v>288</v>
      </c>
      <c r="AZ96" s="116">
        <v>88</v>
      </c>
    </row>
    <row r="97" spans="51:52">
      <c r="AY97" s="116" t="s">
        <v>289</v>
      </c>
      <c r="AZ97" s="116">
        <v>89</v>
      </c>
    </row>
    <row r="98" spans="51:52">
      <c r="AY98" s="116" t="s">
        <v>290</v>
      </c>
      <c r="AZ98" s="116">
        <v>90</v>
      </c>
    </row>
    <row r="99" spans="51:52">
      <c r="AY99" s="116" t="s">
        <v>291</v>
      </c>
      <c r="AZ99" s="116">
        <v>91</v>
      </c>
    </row>
    <row r="100" spans="51:52">
      <c r="AY100" s="116" t="s">
        <v>292</v>
      </c>
      <c r="AZ100" s="116">
        <v>92</v>
      </c>
    </row>
    <row r="101" spans="51:52">
      <c r="AY101" s="116" t="s">
        <v>293</v>
      </c>
      <c r="AZ101" s="116">
        <v>93</v>
      </c>
    </row>
    <row r="102" spans="51:52">
      <c r="AY102" s="116" t="s">
        <v>294</v>
      </c>
      <c r="AZ102" s="116">
        <v>94</v>
      </c>
    </row>
    <row r="103" spans="51:52">
      <c r="AY103" s="116" t="s">
        <v>295</v>
      </c>
      <c r="AZ103" s="116">
        <v>95</v>
      </c>
    </row>
    <row r="104" spans="51:52">
      <c r="AY104" s="116" t="s">
        <v>37</v>
      </c>
      <c r="AZ104" s="116">
        <v>96</v>
      </c>
    </row>
    <row r="105" spans="51:52">
      <c r="AY105" s="116" t="s">
        <v>296</v>
      </c>
      <c r="AZ105" s="116">
        <v>97</v>
      </c>
    </row>
    <row r="106" spans="51:52">
      <c r="AY106" s="116" t="s">
        <v>297</v>
      </c>
      <c r="AZ106" s="116">
        <v>98</v>
      </c>
    </row>
    <row r="107" spans="51:52">
      <c r="AY107" s="116" t="s">
        <v>298</v>
      </c>
      <c r="AZ107" s="116">
        <v>99</v>
      </c>
    </row>
  </sheetData>
  <sheetProtection algorithmName="SHA-512" hashValue="KaVqOp1fQRTEGHWEzvYPQkRc1H/c5a8AZRJRhObAM0TesGLiMq+nhJ8wVHTgQhr1FGAwP45pGb3Uj8tU6mKztA==" saltValue="szU2w0SQQ9SxXB6eHKDyZg==" spinCount="100000" sheet="1" objects="1" scenarios="1" formatRows="0" selectLockedCells="1"/>
  <mergeCells count="92">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F35:P35"/>
    <mergeCell ref="R35:V35"/>
    <mergeCell ref="W35:X35"/>
    <mergeCell ref="Y35:Z35"/>
    <mergeCell ref="AA35:AB35"/>
  </mergeCells>
  <phoneticPr fontId="2"/>
  <conditionalFormatting sqref="H4:J4">
    <cfRule type="cellIs" dxfId="48"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imeMode="off" allowBlank="1" showInputMessage="1" showErrorMessage="1" sqref="Y35:Z35" xr:uid="{00000000-0002-0000-0100-000008000000}">
      <formula1>1</formula1>
      <formula2>12</formula2>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9000000}">
      <formula1>2010</formula1>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workbookViewId="0">
      <selection activeCell="M5" sqref="M5:Q5"/>
    </sheetView>
  </sheetViews>
  <sheetFormatPr defaultColWidth="9" defaultRowHeight="12"/>
  <cols>
    <col min="1" max="1" width="0.5" style="116" customWidth="1"/>
    <col min="2" max="42" width="2.375" style="116" customWidth="1"/>
    <col min="43" max="43" width="0.5" style="116" customWidth="1"/>
    <col min="44" max="44" width="5.125" style="116" customWidth="1"/>
    <col min="45" max="16384" width="9" style="116"/>
  </cols>
  <sheetData>
    <row r="1" spans="1:44">
      <c r="A1" s="116" t="s">
        <v>318</v>
      </c>
    </row>
    <row r="2" spans="1:44" ht="3" customHeight="1">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9"/>
    </row>
    <row r="3" spans="1:44">
      <c r="A3" s="120"/>
      <c r="AQ3" s="121"/>
    </row>
    <row r="4" spans="1:44" s="164" customFormat="1" ht="18.75" customHeight="1" thickBot="1">
      <c r="A4" s="163"/>
      <c r="C4" s="116" t="s">
        <v>453</v>
      </c>
      <c r="AQ4" s="165"/>
      <c r="AR4" s="166"/>
    </row>
    <row r="5" spans="1:44" ht="25.5" customHeight="1" thickBot="1">
      <c r="A5" s="120"/>
      <c r="C5" s="167"/>
      <c r="D5" s="750" t="s">
        <v>319</v>
      </c>
      <c r="E5" s="750"/>
      <c r="F5" s="750"/>
      <c r="G5" s="750"/>
      <c r="H5" s="750"/>
      <c r="I5" s="750"/>
      <c r="J5" s="750"/>
      <c r="K5" s="750"/>
      <c r="L5" s="168"/>
      <c r="M5" s="751"/>
      <c r="N5" s="752"/>
      <c r="O5" s="752"/>
      <c r="P5" s="752"/>
      <c r="Q5" s="752"/>
      <c r="R5" s="753" t="s">
        <v>316</v>
      </c>
      <c r="S5" s="753"/>
      <c r="T5" s="752"/>
      <c r="U5" s="752"/>
      <c r="V5" s="753" t="s">
        <v>317</v>
      </c>
      <c r="W5" s="754"/>
      <c r="X5" s="749"/>
      <c r="Y5" s="749"/>
      <c r="Z5" s="166"/>
      <c r="AA5" s="166"/>
      <c r="AQ5" s="121"/>
    </row>
    <row r="6" spans="1:44" ht="15" customHeight="1">
      <c r="A6" s="120"/>
      <c r="C6" s="169"/>
      <c r="D6" s="169"/>
      <c r="E6" s="169"/>
      <c r="F6" s="139"/>
      <c r="G6" s="139"/>
      <c r="H6" s="139"/>
      <c r="I6" s="139"/>
      <c r="J6" s="139"/>
      <c r="K6" s="139"/>
      <c r="L6" s="139"/>
      <c r="M6" s="139"/>
      <c r="N6" s="139"/>
      <c r="O6" s="139"/>
      <c r="P6" s="139"/>
      <c r="Q6" s="139"/>
      <c r="R6" s="139"/>
      <c r="S6" s="139"/>
      <c r="AQ6" s="121"/>
    </row>
    <row r="7" spans="1:44" ht="18.75" customHeight="1" thickBot="1">
      <c r="A7" s="120"/>
      <c r="C7" s="116" t="s">
        <v>454</v>
      </c>
      <c r="AQ7" s="121"/>
    </row>
    <row r="8" spans="1:44" ht="19.5" customHeight="1" thickBot="1">
      <c r="A8" s="120"/>
      <c r="C8" s="170"/>
      <c r="D8" s="756" t="s">
        <v>320</v>
      </c>
      <c r="E8" s="756"/>
      <c r="F8" s="756"/>
      <c r="G8" s="756"/>
      <c r="H8" s="756"/>
      <c r="I8" s="756"/>
      <c r="J8" s="756"/>
      <c r="K8" s="756"/>
      <c r="L8" s="171"/>
      <c r="M8" s="757"/>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58"/>
      <c r="AO8" s="759"/>
      <c r="AP8" s="131"/>
      <c r="AQ8" s="121"/>
    </row>
    <row r="9" spans="1:44" ht="19.5" hidden="1" customHeight="1" thickBot="1">
      <c r="A9" s="120"/>
      <c r="C9" s="172"/>
      <c r="D9" s="783" t="s">
        <v>387</v>
      </c>
      <c r="E9" s="783"/>
      <c r="F9" s="783"/>
      <c r="G9" s="783"/>
      <c r="H9" s="783"/>
      <c r="I9" s="783"/>
      <c r="J9" s="783"/>
      <c r="K9" s="783"/>
      <c r="L9" s="173"/>
      <c r="M9" s="760"/>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2"/>
      <c r="AP9" s="131"/>
      <c r="AQ9" s="121"/>
    </row>
    <row r="10" spans="1:44" ht="19.5" hidden="1" customHeight="1">
      <c r="A10" s="120"/>
      <c r="C10" s="174"/>
      <c r="D10" s="175"/>
      <c r="E10" s="176"/>
      <c r="F10" s="177"/>
      <c r="G10" s="763" t="s">
        <v>321</v>
      </c>
      <c r="H10" s="763"/>
      <c r="I10" s="763"/>
      <c r="J10" s="763"/>
      <c r="K10" s="763"/>
      <c r="L10" s="178"/>
      <c r="M10" s="764"/>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6"/>
      <c r="AP10" s="131"/>
      <c r="AQ10" s="121"/>
    </row>
    <row r="11" spans="1:44" ht="19.5" hidden="1" customHeight="1" thickBot="1">
      <c r="A11" s="120"/>
      <c r="C11" s="179"/>
      <c r="D11" s="180"/>
      <c r="E11" s="181"/>
      <c r="F11" s="182"/>
      <c r="G11" s="767" t="s">
        <v>322</v>
      </c>
      <c r="H11" s="767"/>
      <c r="I11" s="767"/>
      <c r="J11" s="767"/>
      <c r="K11" s="767"/>
      <c r="L11" s="183"/>
      <c r="M11" s="780"/>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2"/>
      <c r="AP11" s="131"/>
      <c r="AQ11" s="121"/>
    </row>
    <row r="12" spans="1:44" ht="28.5" customHeight="1" thickBot="1">
      <c r="A12" s="120"/>
      <c r="C12" s="164" t="s">
        <v>323</v>
      </c>
      <c r="AQ12" s="121"/>
    </row>
    <row r="13" spans="1:44" ht="86.1" customHeight="1">
      <c r="A13" s="120"/>
      <c r="C13" s="771"/>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3"/>
      <c r="AP13" s="184"/>
      <c r="AQ13" s="121"/>
    </row>
    <row r="14" spans="1:44" ht="86.1" customHeight="1">
      <c r="A14" s="120"/>
      <c r="C14" s="774"/>
      <c r="D14" s="775"/>
      <c r="E14" s="775"/>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6"/>
      <c r="AP14" s="184"/>
      <c r="AQ14" s="121"/>
    </row>
    <row r="15" spans="1:44" ht="86.1" customHeight="1">
      <c r="A15" s="120"/>
      <c r="C15" s="774"/>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6"/>
      <c r="AP15" s="184"/>
      <c r="AQ15" s="121"/>
    </row>
    <row r="16" spans="1:44" ht="86.1" customHeight="1">
      <c r="A16" s="120"/>
      <c r="C16" s="774"/>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6"/>
      <c r="AP16" s="184"/>
      <c r="AQ16" s="121"/>
    </row>
    <row r="17" spans="1:43" ht="86.1" customHeight="1" thickBot="1">
      <c r="A17" s="120"/>
      <c r="C17" s="777"/>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9"/>
      <c r="AP17" s="184"/>
      <c r="AQ17" s="121"/>
    </row>
    <row r="18" spans="1:43" ht="28.5" customHeight="1" thickBot="1">
      <c r="A18" s="120"/>
      <c r="C18" s="185" t="s">
        <v>324</v>
      </c>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c r="AQ18" s="121"/>
    </row>
    <row r="19" spans="1:43" ht="153.75" customHeight="1" thickBot="1">
      <c r="A19" s="120"/>
      <c r="C19" s="768"/>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769"/>
      <c r="AN19" s="769"/>
      <c r="AO19" s="770"/>
      <c r="AP19" s="187"/>
      <c r="AQ19" s="121"/>
    </row>
    <row r="20" spans="1:43">
      <c r="A20" s="120"/>
      <c r="C20" s="188"/>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21"/>
    </row>
    <row r="21" spans="1:43" ht="3" customHeight="1">
      <c r="A21" s="146"/>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8"/>
    </row>
    <row r="22" spans="1:43" ht="12" customHeight="1">
      <c r="C22" s="189"/>
      <c r="Q22" s="755"/>
      <c r="R22" s="755"/>
      <c r="S22" s="755"/>
      <c r="Z22" s="156"/>
      <c r="AA22" s="156"/>
      <c r="AB22" s="156"/>
      <c r="AC22" s="156"/>
      <c r="AD22" s="156"/>
      <c r="AE22" s="156"/>
      <c r="AF22" s="156"/>
      <c r="AG22" s="156"/>
      <c r="AH22" s="156"/>
      <c r="AI22" s="156"/>
      <c r="AJ22" s="156"/>
      <c r="AK22" s="156"/>
      <c r="AL22" s="156"/>
      <c r="AM22" s="156"/>
      <c r="AN22" s="156"/>
      <c r="AO22" s="156"/>
      <c r="AP22" s="156"/>
      <c r="AQ22" s="162" t="s">
        <v>478</v>
      </c>
    </row>
  </sheetData>
  <sheetProtection algorithmName="SHA-512" hashValue="V5k48HPIkC0V7bS+07dYAhY0dc4UVYQ0wMpCnICfx0iX12E+yeMUrAol6x5Cort8OVDs77rZC5p8pWEAeQCFiQ==" saltValue="WzSkU3cljsAgi1b5kZfGUQ==" spinCount="100000" sheet="1" scenarios="1" formatRows="0"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333375</xdr:colOff>
                    <xdr:row>8</xdr:row>
                    <xdr:rowOff>228600</xdr:rowOff>
                  </from>
                  <to>
                    <xdr:col>43</xdr:col>
                    <xdr:colOff>333375</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6"/>
  <sheetViews>
    <sheetView showGridLines="0" view="pageBreakPreview" zoomScaleSheetLayoutView="100" workbookViewId="0">
      <selection activeCell="G8" sqref="G8:AR8"/>
    </sheetView>
  </sheetViews>
  <sheetFormatPr defaultColWidth="9" defaultRowHeight="12"/>
  <cols>
    <col min="1" max="1" width="0.5" style="116" customWidth="1"/>
    <col min="2" max="2" width="1.125" style="116" customWidth="1"/>
    <col min="3" max="7" width="2.625" style="116" customWidth="1"/>
    <col min="8" max="44" width="2.375" style="116" customWidth="1"/>
    <col min="45" max="45" width="0.875" style="116" customWidth="1"/>
    <col min="46" max="46" width="0.5" style="116" customWidth="1"/>
    <col min="47" max="47" width="2.125" style="116" customWidth="1"/>
    <col min="48" max="48" width="9" style="116" customWidth="1"/>
    <col min="49" max="49" width="9.625" style="116" hidden="1" customWidth="1"/>
    <col min="50" max="50" width="9" style="116" hidden="1" customWidth="1"/>
    <col min="51" max="51" width="9.625" style="116" hidden="1" customWidth="1"/>
    <col min="52" max="52" width="9" style="116" hidden="1" customWidth="1"/>
    <col min="53" max="53" width="13.625" style="116" hidden="1" customWidth="1"/>
    <col min="54" max="54" width="9.625" style="116" hidden="1" customWidth="1"/>
    <col min="55" max="56" width="9" style="116" customWidth="1"/>
    <col min="57" max="16384" width="9" style="116"/>
  </cols>
  <sheetData>
    <row r="1" spans="1:59" ht="12" customHeight="1">
      <c r="A1" s="116" t="s">
        <v>56</v>
      </c>
      <c r="AI1" s="190"/>
      <c r="AJ1" s="190"/>
      <c r="AK1" s="190"/>
      <c r="AL1" s="190"/>
      <c r="AM1" s="190"/>
      <c r="AN1" s="190"/>
      <c r="AO1" s="190"/>
      <c r="AP1" s="190"/>
      <c r="AQ1" s="190"/>
      <c r="AR1" s="190"/>
      <c r="AS1" s="190"/>
      <c r="AT1" s="190"/>
    </row>
    <row r="2" spans="1:59" ht="3" customHeight="1">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91"/>
      <c r="AJ2" s="191"/>
      <c r="AK2" s="191"/>
      <c r="AL2" s="191"/>
      <c r="AM2" s="191"/>
      <c r="AN2" s="191"/>
      <c r="AO2" s="191"/>
      <c r="AP2" s="191"/>
      <c r="AQ2" s="191"/>
      <c r="AR2" s="191"/>
      <c r="AS2" s="191"/>
      <c r="AT2" s="192"/>
    </row>
    <row r="3" spans="1:59" ht="12" customHeight="1">
      <c r="A3" s="120"/>
      <c r="AI3" s="190"/>
      <c r="AJ3" s="190"/>
      <c r="AK3" s="190"/>
      <c r="AL3" s="190"/>
      <c r="AM3" s="190"/>
      <c r="AN3" s="190"/>
      <c r="AO3" s="190"/>
      <c r="AP3" s="190"/>
      <c r="AQ3" s="190"/>
      <c r="AR3" s="190"/>
      <c r="AS3" s="190"/>
      <c r="AT3" s="193"/>
    </row>
    <row r="4" spans="1:59" s="164" customFormat="1" ht="13.5" customHeight="1">
      <c r="A4" s="163"/>
      <c r="C4" s="164" t="s">
        <v>325</v>
      </c>
      <c r="AT4" s="194"/>
    </row>
    <row r="5" spans="1:59" s="164" customFormat="1" ht="3" customHeight="1">
      <c r="A5" s="163"/>
      <c r="AT5" s="194"/>
    </row>
    <row r="6" spans="1:59" s="164" customFormat="1" ht="17.25" customHeight="1" thickBot="1">
      <c r="A6" s="163"/>
      <c r="C6" s="164" t="s">
        <v>516</v>
      </c>
      <c r="AT6" s="194"/>
    </row>
    <row r="7" spans="1:59" ht="23.25" customHeight="1" thickBot="1">
      <c r="A7" s="120"/>
      <c r="C7" s="195"/>
      <c r="D7" s="812" t="s">
        <v>47</v>
      </c>
      <c r="E7" s="812"/>
      <c r="F7" s="196"/>
      <c r="G7" s="819">
        <v>2025</v>
      </c>
      <c r="H7" s="820"/>
      <c r="I7" s="820"/>
      <c r="J7" s="820"/>
      <c r="K7" s="824" t="s">
        <v>326</v>
      </c>
      <c r="L7" s="824"/>
      <c r="M7" s="824"/>
      <c r="N7" s="824"/>
      <c r="O7" s="820">
        <v>2029</v>
      </c>
      <c r="P7" s="820"/>
      <c r="Q7" s="820"/>
      <c r="R7" s="821" t="s">
        <v>327</v>
      </c>
      <c r="S7" s="822"/>
      <c r="T7" s="822"/>
      <c r="U7" s="823"/>
      <c r="V7" s="817"/>
      <c r="W7" s="818"/>
      <c r="X7" s="818"/>
      <c r="Y7" s="818"/>
      <c r="Z7" s="127"/>
      <c r="AA7" s="127"/>
      <c r="AB7" s="127"/>
      <c r="AC7" s="127"/>
      <c r="AD7" s="127"/>
      <c r="AE7" s="127"/>
      <c r="AF7" s="127"/>
      <c r="AG7" s="127"/>
      <c r="AH7" s="127"/>
      <c r="AI7" s="127"/>
      <c r="AJ7" s="127"/>
      <c r="AK7" s="127"/>
      <c r="AL7" s="127"/>
      <c r="AM7" s="127"/>
      <c r="AN7" s="127"/>
      <c r="AO7" s="127"/>
      <c r="AP7" s="127"/>
      <c r="AQ7" s="127"/>
      <c r="AR7" s="127"/>
      <c r="AT7" s="121"/>
    </row>
    <row r="8" spans="1:59" s="164" customFormat="1" ht="63" customHeight="1" thickBot="1">
      <c r="A8" s="163"/>
      <c r="C8" s="197"/>
      <c r="D8" s="813" t="s">
        <v>328</v>
      </c>
      <c r="E8" s="813"/>
      <c r="F8" s="198"/>
      <c r="G8" s="814"/>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6"/>
      <c r="AS8" s="125"/>
      <c r="AT8" s="194"/>
    </row>
    <row r="9" spans="1:59" s="164" customFormat="1" ht="28.5" customHeight="1" thickBot="1">
      <c r="A9" s="163"/>
      <c r="C9" s="199" t="s">
        <v>543</v>
      </c>
      <c r="D9" s="200"/>
      <c r="E9" s="200"/>
      <c r="F9" s="201"/>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125"/>
      <c r="AT9" s="194"/>
    </row>
    <row r="10" spans="1:59" s="164" customFormat="1" ht="22.5" customHeight="1" thickBot="1">
      <c r="A10" s="163"/>
      <c r="C10" s="195"/>
      <c r="D10" s="812" t="s">
        <v>47</v>
      </c>
      <c r="E10" s="812"/>
      <c r="F10" s="196"/>
      <c r="G10" s="819">
        <v>2030</v>
      </c>
      <c r="H10" s="820"/>
      <c r="I10" s="820"/>
      <c r="J10" s="820"/>
      <c r="K10" s="824" t="s">
        <v>326</v>
      </c>
      <c r="L10" s="824"/>
      <c r="M10" s="824"/>
      <c r="N10" s="824"/>
      <c r="O10" s="664">
        <v>2034</v>
      </c>
      <c r="P10" s="664"/>
      <c r="Q10" s="664"/>
      <c r="R10" s="821" t="s">
        <v>327</v>
      </c>
      <c r="S10" s="822"/>
      <c r="T10" s="822"/>
      <c r="U10" s="823"/>
      <c r="V10" s="817"/>
      <c r="W10" s="818"/>
      <c r="X10" s="818"/>
      <c r="Y10" s="818"/>
      <c r="Z10" s="127"/>
      <c r="AA10" s="127"/>
      <c r="AB10" s="127"/>
      <c r="AC10" s="127"/>
      <c r="AD10" s="127"/>
      <c r="AE10" s="127"/>
      <c r="AF10" s="127"/>
      <c r="AG10" s="127"/>
      <c r="AH10" s="127"/>
      <c r="AI10" s="127"/>
      <c r="AJ10" s="127"/>
      <c r="AK10" s="127"/>
      <c r="AL10" s="127"/>
      <c r="AM10" s="127"/>
      <c r="AN10" s="127"/>
      <c r="AO10" s="127"/>
      <c r="AP10" s="127"/>
      <c r="AQ10" s="127"/>
      <c r="AR10" s="127"/>
      <c r="AS10" s="125"/>
      <c r="AT10" s="194"/>
    </row>
    <row r="11" spans="1:59" s="164" customFormat="1" ht="63" customHeight="1" thickBot="1">
      <c r="A11" s="163"/>
      <c r="C11" s="197"/>
      <c r="D11" s="813" t="s">
        <v>328</v>
      </c>
      <c r="E11" s="813"/>
      <c r="F11" s="198"/>
      <c r="G11" s="814"/>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6"/>
      <c r="AS11" s="125"/>
      <c r="AT11" s="194"/>
    </row>
    <row r="12" spans="1:59" s="164" customFormat="1" ht="9.75" customHeight="1">
      <c r="A12" s="163"/>
      <c r="C12" s="169"/>
      <c r="D12" s="169"/>
      <c r="E12" s="169"/>
      <c r="F12" s="169"/>
      <c r="G12" s="169"/>
      <c r="H12" s="139"/>
      <c r="I12" s="139"/>
      <c r="J12" s="139"/>
      <c r="K12" s="139"/>
      <c r="L12" s="139"/>
      <c r="M12" s="139"/>
      <c r="N12" s="139"/>
      <c r="O12" s="139"/>
      <c r="P12" s="116"/>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194"/>
    </row>
    <row r="13" spans="1:59" s="164" customFormat="1" ht="12" customHeight="1">
      <c r="A13" s="163"/>
      <c r="C13" s="116" t="s">
        <v>329</v>
      </c>
      <c r="D13" s="169"/>
      <c r="E13" s="169"/>
      <c r="F13" s="169"/>
      <c r="G13" s="169"/>
      <c r="H13" s="139"/>
      <c r="I13" s="139"/>
      <c r="J13" s="139"/>
      <c r="K13" s="139"/>
      <c r="L13" s="139"/>
      <c r="M13" s="139"/>
      <c r="N13" s="139"/>
      <c r="O13" s="139"/>
      <c r="P13" s="116"/>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4" t="s">
        <v>104</v>
      </c>
      <c r="AS13" s="204"/>
      <c r="AT13" s="194"/>
    </row>
    <row r="14" spans="1:59" s="164" customFormat="1" ht="3" customHeight="1" thickBot="1">
      <c r="A14" s="163"/>
      <c r="C14" s="116"/>
      <c r="D14" s="169"/>
      <c r="E14" s="169"/>
      <c r="F14" s="169"/>
      <c r="G14" s="169"/>
      <c r="H14" s="139"/>
      <c r="I14" s="139"/>
      <c r="J14" s="139"/>
      <c r="K14" s="139"/>
      <c r="L14" s="139"/>
      <c r="M14" s="139"/>
      <c r="N14" s="139"/>
      <c r="O14" s="139"/>
      <c r="P14" s="116"/>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4"/>
      <c r="AS14" s="204"/>
      <c r="AT14" s="194"/>
    </row>
    <row r="15" spans="1:59" s="164" customFormat="1" ht="30" customHeight="1" thickBot="1">
      <c r="A15" s="163"/>
      <c r="C15" s="787" t="s">
        <v>761</v>
      </c>
      <c r="D15" s="787"/>
      <c r="E15" s="787"/>
      <c r="F15" s="787"/>
      <c r="G15" s="787"/>
      <c r="H15" s="795" t="s">
        <v>48</v>
      </c>
      <c r="I15" s="795"/>
      <c r="J15" s="795"/>
      <c r="K15" s="795"/>
      <c r="L15" s="795" t="s">
        <v>49</v>
      </c>
      <c r="M15" s="795"/>
      <c r="N15" s="795"/>
      <c r="O15" s="795"/>
      <c r="P15" s="795"/>
      <c r="Q15" s="795"/>
      <c r="R15" s="795"/>
      <c r="S15" s="795"/>
      <c r="T15" s="717" t="s">
        <v>50</v>
      </c>
      <c r="U15" s="718"/>
      <c r="V15" s="718"/>
      <c r="W15" s="718"/>
      <c r="X15" s="718"/>
      <c r="Y15" s="718"/>
      <c r="Z15" s="718"/>
      <c r="AA15" s="718"/>
      <c r="AB15" s="718"/>
      <c r="AC15" s="718"/>
      <c r="AD15" s="718"/>
      <c r="AE15" s="718"/>
      <c r="AF15" s="718"/>
      <c r="AG15" s="806" t="s">
        <v>51</v>
      </c>
      <c r="AH15" s="807"/>
      <c r="AI15" s="808"/>
      <c r="AJ15" s="789" t="s">
        <v>52</v>
      </c>
      <c r="AK15" s="789"/>
      <c r="AL15" s="789"/>
      <c r="AM15" s="789"/>
      <c r="AN15" s="795" t="s">
        <v>53</v>
      </c>
      <c r="AO15" s="795"/>
      <c r="AP15" s="795"/>
      <c r="AQ15" s="795"/>
      <c r="AR15" s="795"/>
      <c r="AS15" s="205"/>
      <c r="AT15" s="206"/>
      <c r="AU15" s="203"/>
      <c r="AV15" s="203"/>
      <c r="AW15" s="203"/>
      <c r="AX15" s="203"/>
      <c r="AY15" s="203"/>
      <c r="AZ15" s="203"/>
      <c r="BA15" s="203"/>
      <c r="BB15" s="203"/>
      <c r="BC15" s="784"/>
      <c r="BD15" s="784"/>
      <c r="BE15" s="785"/>
      <c r="BF15" s="785"/>
      <c r="BG15" s="785"/>
    </row>
    <row r="16" spans="1:59" s="164" customFormat="1" ht="30" customHeight="1" thickBot="1">
      <c r="A16" s="163"/>
      <c r="C16" s="787"/>
      <c r="D16" s="787"/>
      <c r="E16" s="787"/>
      <c r="F16" s="787"/>
      <c r="G16" s="787"/>
      <c r="H16" s="795"/>
      <c r="I16" s="795"/>
      <c r="J16" s="795"/>
      <c r="K16" s="795"/>
      <c r="L16" s="791" t="s">
        <v>54</v>
      </c>
      <c r="M16" s="792"/>
      <c r="N16" s="792"/>
      <c r="O16" s="792"/>
      <c r="P16" s="793" t="s">
        <v>55</v>
      </c>
      <c r="Q16" s="793"/>
      <c r="R16" s="793"/>
      <c r="S16" s="794"/>
      <c r="T16" s="791" t="s">
        <v>54</v>
      </c>
      <c r="U16" s="792"/>
      <c r="V16" s="792"/>
      <c r="W16" s="792"/>
      <c r="X16" s="792" t="str">
        <f>その1!H4&amp; CHAR(10) &amp; "年度"</f>
        <v>2026
年度</v>
      </c>
      <c r="Y16" s="792"/>
      <c r="Z16" s="792"/>
      <c r="AA16" s="792" t="str">
        <f>その1!H4+1&amp; CHAR(10) &amp; "年度"</f>
        <v>2027
年度</v>
      </c>
      <c r="AB16" s="792"/>
      <c r="AC16" s="792"/>
      <c r="AD16" s="792" t="str">
        <f>その1!H4+2&amp; CHAR(10) &amp; "年度"</f>
        <v>2028
年度</v>
      </c>
      <c r="AE16" s="792"/>
      <c r="AF16" s="841"/>
      <c r="AG16" s="809"/>
      <c r="AH16" s="810"/>
      <c r="AI16" s="811"/>
      <c r="AJ16" s="790"/>
      <c r="AK16" s="790"/>
      <c r="AL16" s="790"/>
      <c r="AM16" s="790"/>
      <c r="AN16" s="795"/>
      <c r="AO16" s="795"/>
      <c r="AP16" s="795"/>
      <c r="AQ16" s="795"/>
      <c r="AR16" s="795"/>
      <c r="AS16" s="205"/>
      <c r="AT16" s="206"/>
      <c r="AU16" s="203"/>
      <c r="AV16" s="203"/>
      <c r="AW16" s="203"/>
      <c r="AX16" s="203"/>
      <c r="AY16" s="203"/>
      <c r="AZ16" s="203"/>
      <c r="BA16" s="203"/>
      <c r="BB16" s="203"/>
      <c r="BC16" s="784"/>
      <c r="BD16" s="784"/>
      <c r="BE16" s="785"/>
      <c r="BF16" s="785"/>
      <c r="BG16" s="785"/>
    </row>
    <row r="17" spans="1:59" s="164" customFormat="1" ht="30" customHeight="1">
      <c r="A17" s="163"/>
      <c r="C17" s="827" t="str">
        <f>'点検表（商業版）'!BB53</f>
        <v>推進体制の整備</v>
      </c>
      <c r="D17" s="827"/>
      <c r="E17" s="827"/>
      <c r="F17" s="827"/>
      <c r="G17" s="827"/>
      <c r="H17" s="834">
        <f>'点検表（商業版）'!BE53</f>
        <v>13</v>
      </c>
      <c r="I17" s="834"/>
      <c r="J17" s="834"/>
      <c r="K17" s="834"/>
      <c r="L17" s="833">
        <f>'点検表（商業版）'!BF53</f>
        <v>0</v>
      </c>
      <c r="M17" s="832"/>
      <c r="N17" s="832"/>
      <c r="O17" s="832"/>
      <c r="P17" s="832">
        <f>'点検表（商業版）'!BF54</f>
        <v>0</v>
      </c>
      <c r="Q17" s="832"/>
      <c r="R17" s="832"/>
      <c r="S17" s="832"/>
      <c r="T17" s="825">
        <f>'点検表（商業版）'!BH53</f>
        <v>0</v>
      </c>
      <c r="U17" s="826"/>
      <c r="V17" s="826"/>
      <c r="W17" s="826"/>
      <c r="X17" s="826">
        <f>'点検表（商業版）'!BI53</f>
        <v>0</v>
      </c>
      <c r="Y17" s="826"/>
      <c r="Z17" s="826"/>
      <c r="AA17" s="826">
        <f>'点検表（商業版）'!BJ53</f>
        <v>0</v>
      </c>
      <c r="AB17" s="826"/>
      <c r="AC17" s="826"/>
      <c r="AD17" s="839">
        <f>'点検表（商業版）'!BK53</f>
        <v>0</v>
      </c>
      <c r="AE17" s="840"/>
      <c r="AF17" s="840"/>
      <c r="AG17" s="840">
        <f>'点検表（商業版）'!BL53</f>
        <v>0</v>
      </c>
      <c r="AH17" s="840"/>
      <c r="AI17" s="840"/>
      <c r="AJ17" s="856">
        <f>'点検表（商業版）'!BD53</f>
        <v>0</v>
      </c>
      <c r="AK17" s="857"/>
      <c r="AL17" s="857"/>
      <c r="AM17" s="858"/>
      <c r="AN17" s="828"/>
      <c r="AO17" s="828"/>
      <c r="AP17" s="828"/>
      <c r="AQ17" s="828"/>
      <c r="AR17" s="828"/>
      <c r="AS17" s="207"/>
      <c r="AT17" s="206"/>
      <c r="AU17" s="203"/>
      <c r="AV17" s="208"/>
      <c r="AW17" s="208"/>
      <c r="AX17" s="208"/>
      <c r="AY17" s="208"/>
      <c r="AZ17" s="208"/>
      <c r="BA17" s="208"/>
      <c r="BB17" s="208"/>
      <c r="BC17" s="786"/>
      <c r="BD17" s="786"/>
      <c r="BE17" s="785"/>
      <c r="BF17" s="785"/>
      <c r="BG17" s="785"/>
    </row>
    <row r="18" spans="1:59" s="164" customFormat="1" ht="30" customHeight="1">
      <c r="A18" s="163"/>
      <c r="C18" s="829" t="str">
        <f>'点検表（商業版）'!BB63</f>
        <v>事務室・バックヤードにおける省エネ対策</v>
      </c>
      <c r="D18" s="830"/>
      <c r="E18" s="830"/>
      <c r="F18" s="830"/>
      <c r="G18" s="831"/>
      <c r="H18" s="796">
        <f>'点検表（商業版）'!BE63</f>
        <v>3</v>
      </c>
      <c r="I18" s="797"/>
      <c r="J18" s="797"/>
      <c r="K18" s="798"/>
      <c r="L18" s="796">
        <f>'点検表（商業版）'!BF63</f>
        <v>0</v>
      </c>
      <c r="M18" s="797"/>
      <c r="N18" s="797"/>
      <c r="O18" s="835"/>
      <c r="P18" s="836">
        <f>'点検表（商業版）'!BF64</f>
        <v>0</v>
      </c>
      <c r="Q18" s="797"/>
      <c r="R18" s="797"/>
      <c r="S18" s="798"/>
      <c r="T18" s="849">
        <f>'点検表（商業版）'!BH63</f>
        <v>0</v>
      </c>
      <c r="U18" s="850"/>
      <c r="V18" s="850"/>
      <c r="W18" s="851"/>
      <c r="X18" s="852">
        <f>'点検表（商業版）'!BI63</f>
        <v>0</v>
      </c>
      <c r="Y18" s="850"/>
      <c r="Z18" s="851"/>
      <c r="AA18" s="852">
        <f>'点検表（商業版）'!BJ63</f>
        <v>0</v>
      </c>
      <c r="AB18" s="850"/>
      <c r="AC18" s="851"/>
      <c r="AD18" s="852">
        <f>'点検表（商業版）'!BK63</f>
        <v>0</v>
      </c>
      <c r="AE18" s="850"/>
      <c r="AF18" s="859"/>
      <c r="AG18" s="849">
        <f>'点検表（商業版）'!BL63</f>
        <v>0</v>
      </c>
      <c r="AH18" s="850"/>
      <c r="AI18" s="859"/>
      <c r="AJ18" s="796">
        <f>'点検表（商業版）'!BD63</f>
        <v>0</v>
      </c>
      <c r="AK18" s="797"/>
      <c r="AL18" s="797"/>
      <c r="AM18" s="798"/>
      <c r="AN18" s="837"/>
      <c r="AO18" s="837"/>
      <c r="AP18" s="837"/>
      <c r="AQ18" s="837"/>
      <c r="AR18" s="837"/>
      <c r="AS18" s="207"/>
      <c r="AT18" s="206"/>
      <c r="AU18" s="203"/>
      <c r="AV18" s="208"/>
      <c r="AW18" s="208"/>
      <c r="AX18" s="208"/>
      <c r="AY18" s="208"/>
      <c r="AZ18" s="208"/>
      <c r="BA18" s="208"/>
      <c r="BB18" s="208"/>
      <c r="BC18" s="786"/>
      <c r="BD18" s="785"/>
      <c r="BE18" s="785"/>
      <c r="BF18" s="785"/>
      <c r="BG18" s="785"/>
    </row>
    <row r="19" spans="1:59" s="164" customFormat="1" ht="30" customHeight="1">
      <c r="A19" s="163"/>
      <c r="C19" s="875" t="str">
        <f>'点検表（商業版）'!BB109</f>
        <v>売場部門における省エネ対策</v>
      </c>
      <c r="D19" s="875"/>
      <c r="E19" s="875"/>
      <c r="F19" s="875"/>
      <c r="G19" s="875"/>
      <c r="H19" s="874">
        <f>'点検表（商業版）'!BE109</f>
        <v>14</v>
      </c>
      <c r="I19" s="874"/>
      <c r="J19" s="874"/>
      <c r="K19" s="874"/>
      <c r="L19" s="864">
        <f>'点検表（商業版）'!BF109</f>
        <v>0</v>
      </c>
      <c r="M19" s="865"/>
      <c r="N19" s="865"/>
      <c r="O19" s="865"/>
      <c r="P19" s="865">
        <f>'点検表（商業版）'!BF110</f>
        <v>0</v>
      </c>
      <c r="Q19" s="865"/>
      <c r="R19" s="865"/>
      <c r="S19" s="865"/>
      <c r="T19" s="867">
        <f>'点検表（商業版）'!BH109</f>
        <v>0</v>
      </c>
      <c r="U19" s="805"/>
      <c r="V19" s="805"/>
      <c r="W19" s="805"/>
      <c r="X19" s="805">
        <f>'点検表（商業版）'!BI109</f>
        <v>0</v>
      </c>
      <c r="Y19" s="805"/>
      <c r="Z19" s="805"/>
      <c r="AA19" s="805">
        <f>'点検表（商業版）'!BJ109</f>
        <v>0</v>
      </c>
      <c r="AB19" s="805"/>
      <c r="AC19" s="805"/>
      <c r="AD19" s="868">
        <f>'点検表（商業版）'!BK109</f>
        <v>0</v>
      </c>
      <c r="AE19" s="855"/>
      <c r="AF19" s="855"/>
      <c r="AG19" s="855">
        <f>'点検表（商業版）'!BL109</f>
        <v>0</v>
      </c>
      <c r="AH19" s="855"/>
      <c r="AI19" s="855"/>
      <c r="AJ19" s="796">
        <f>'点検表（商業版）'!BD109</f>
        <v>0</v>
      </c>
      <c r="AK19" s="797"/>
      <c r="AL19" s="797"/>
      <c r="AM19" s="798"/>
      <c r="AN19" s="837"/>
      <c r="AO19" s="837"/>
      <c r="AP19" s="837"/>
      <c r="AQ19" s="837"/>
      <c r="AR19" s="837"/>
      <c r="AS19" s="209"/>
      <c r="AT19" s="206"/>
      <c r="AU19" s="203"/>
      <c r="AV19" s="210"/>
      <c r="AW19" s="208"/>
      <c r="AX19" s="208"/>
      <c r="AY19" s="208"/>
      <c r="AZ19" s="208"/>
      <c r="BA19" s="208"/>
      <c r="BB19" s="208"/>
      <c r="BC19" s="786"/>
      <c r="BD19" s="785"/>
      <c r="BE19" s="785"/>
      <c r="BF19" s="785"/>
      <c r="BG19" s="785"/>
    </row>
    <row r="20" spans="1:59" s="164" customFormat="1" ht="30" customHeight="1" thickBot="1">
      <c r="A20" s="163"/>
      <c r="C20" s="866" t="str">
        <f>'点検表（商業版）'!BB130</f>
        <v>再生可能エネルギーの利用</v>
      </c>
      <c r="D20" s="866"/>
      <c r="E20" s="866"/>
      <c r="F20" s="866"/>
      <c r="G20" s="866"/>
      <c r="H20" s="842">
        <f>'点検表（商業版）'!BE130</f>
        <v>6</v>
      </c>
      <c r="I20" s="842"/>
      <c r="J20" s="842"/>
      <c r="K20" s="842"/>
      <c r="L20" s="843">
        <f>'点検表（商業版）'!BF130</f>
        <v>0</v>
      </c>
      <c r="M20" s="844"/>
      <c r="N20" s="844"/>
      <c r="O20" s="844"/>
      <c r="P20" s="844">
        <f>'点検表（商業版）'!BF131</f>
        <v>0</v>
      </c>
      <c r="Q20" s="844"/>
      <c r="R20" s="844"/>
      <c r="S20" s="844"/>
      <c r="T20" s="845">
        <f>'点検表（商業版）'!BH130</f>
        <v>0</v>
      </c>
      <c r="U20" s="799"/>
      <c r="V20" s="799"/>
      <c r="W20" s="799"/>
      <c r="X20" s="799">
        <f>'点検表（商業版）'!BI130</f>
        <v>0</v>
      </c>
      <c r="Y20" s="799"/>
      <c r="Z20" s="799"/>
      <c r="AA20" s="799">
        <f>'点検表（商業版）'!BJ130</f>
        <v>0</v>
      </c>
      <c r="AB20" s="799"/>
      <c r="AC20" s="799"/>
      <c r="AD20" s="800">
        <f>'点検表（商業版）'!BK130</f>
        <v>0</v>
      </c>
      <c r="AE20" s="801"/>
      <c r="AF20" s="801"/>
      <c r="AG20" s="801">
        <f>'点検表（商業版）'!BL130</f>
        <v>0</v>
      </c>
      <c r="AH20" s="801"/>
      <c r="AI20" s="801"/>
      <c r="AJ20" s="802">
        <f>'点検表（商業版）'!BD130</f>
        <v>0</v>
      </c>
      <c r="AK20" s="803"/>
      <c r="AL20" s="803"/>
      <c r="AM20" s="804"/>
      <c r="AN20" s="838"/>
      <c r="AO20" s="838"/>
      <c r="AP20" s="838"/>
      <c r="AQ20" s="838"/>
      <c r="AR20" s="838"/>
      <c r="AS20" s="211"/>
      <c r="AT20" s="206"/>
      <c r="AU20" s="203"/>
      <c r="AV20" s="210"/>
      <c r="AW20" s="212"/>
      <c r="AX20" s="212"/>
      <c r="AY20" s="212"/>
      <c r="AZ20" s="212"/>
      <c r="BA20" s="212"/>
      <c r="BB20" s="212"/>
      <c r="BC20" s="212"/>
      <c r="BD20" s="212"/>
      <c r="BE20" s="212"/>
      <c r="BF20" s="212"/>
      <c r="BG20" s="212"/>
    </row>
    <row r="21" spans="1:59" s="164" customFormat="1" ht="30" customHeight="1" thickBot="1">
      <c r="A21" s="163"/>
      <c r="C21" s="787" t="s">
        <v>16</v>
      </c>
      <c r="D21" s="787"/>
      <c r="E21" s="787"/>
      <c r="F21" s="787"/>
      <c r="G21" s="787"/>
      <c r="H21" s="788">
        <f>SUM(H17:K20)</f>
        <v>36</v>
      </c>
      <c r="I21" s="788"/>
      <c r="J21" s="788"/>
      <c r="K21" s="788"/>
      <c r="L21" s="869">
        <f>SUM(L17:O20)</f>
        <v>0</v>
      </c>
      <c r="M21" s="870"/>
      <c r="N21" s="870"/>
      <c r="O21" s="870"/>
      <c r="P21" s="870">
        <f>SUM(P17:S20)</f>
        <v>0</v>
      </c>
      <c r="Q21" s="870"/>
      <c r="R21" s="870"/>
      <c r="S21" s="870"/>
      <c r="T21" s="871">
        <f>SUM(T17:W20)</f>
        <v>0</v>
      </c>
      <c r="U21" s="872"/>
      <c r="V21" s="872"/>
      <c r="W21" s="872"/>
      <c r="X21" s="872">
        <f>SUM(X17:Z20)</f>
        <v>0</v>
      </c>
      <c r="Y21" s="872"/>
      <c r="Z21" s="872"/>
      <c r="AA21" s="872">
        <f>SUM(AA17:AC20)</f>
        <v>0</v>
      </c>
      <c r="AB21" s="872"/>
      <c r="AC21" s="872"/>
      <c r="AD21" s="873">
        <f>SUM(AD17:AF20)</f>
        <v>0</v>
      </c>
      <c r="AE21" s="854"/>
      <c r="AF21" s="854"/>
      <c r="AG21" s="854">
        <f>SUM(AG17:AI20)</f>
        <v>0</v>
      </c>
      <c r="AH21" s="854"/>
      <c r="AI21" s="854"/>
      <c r="AJ21" s="846">
        <f>SUM(AJ17:AM20)</f>
        <v>0</v>
      </c>
      <c r="AK21" s="847"/>
      <c r="AL21" s="847"/>
      <c r="AM21" s="848"/>
      <c r="AN21" s="853" t="str">
        <f>IF(AV23=0,"",SUM(P21,AH21,AK21,AM21))</f>
        <v/>
      </c>
      <c r="AO21" s="853"/>
      <c r="AP21" s="853"/>
      <c r="AQ21" s="853"/>
      <c r="AR21" s="853"/>
      <c r="AS21" s="211"/>
      <c r="AT21" s="206"/>
      <c r="AU21" s="203"/>
      <c r="AV21" s="210"/>
      <c r="AW21" s="212"/>
      <c r="AX21" s="212"/>
      <c r="AY21" s="212"/>
      <c r="AZ21" s="212"/>
      <c r="BA21" s="212"/>
      <c r="BB21" s="212"/>
      <c r="BC21" s="212"/>
      <c r="BD21" s="212"/>
      <c r="BE21" s="212"/>
      <c r="BF21" s="212"/>
      <c r="BG21" s="212"/>
    </row>
    <row r="22" spans="1:59" s="164" customFormat="1" ht="16.5" customHeight="1">
      <c r="A22" s="163"/>
      <c r="C22" s="169"/>
      <c r="D22" s="169"/>
      <c r="E22" s="169"/>
      <c r="F22" s="169"/>
      <c r="G22" s="169"/>
      <c r="H22" s="166"/>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3"/>
      <c r="AQ22" s="213"/>
      <c r="AR22" s="214"/>
      <c r="AS22" s="214"/>
      <c r="AT22" s="206"/>
      <c r="AU22" s="203"/>
      <c r="AV22" s="212"/>
      <c r="AW22" s="212"/>
      <c r="AX22" s="212"/>
      <c r="AY22" s="212"/>
      <c r="AZ22" s="212"/>
      <c r="BA22" s="212"/>
      <c r="BB22" s="212"/>
      <c r="BC22" s="212"/>
      <c r="BD22" s="212"/>
      <c r="BE22" s="212"/>
      <c r="BF22" s="212"/>
      <c r="BG22" s="212"/>
    </row>
    <row r="23" spans="1:59" ht="15.75" customHeight="1">
      <c r="A23" s="120"/>
      <c r="C23" s="116" t="s">
        <v>544</v>
      </c>
      <c r="AT23" s="121"/>
    </row>
    <row r="24" spans="1:59" ht="15.75" customHeight="1" thickBot="1">
      <c r="A24" s="120"/>
      <c r="C24" s="164" t="s">
        <v>519</v>
      </c>
      <c r="E24" s="127"/>
      <c r="AT24" s="121"/>
    </row>
    <row r="25" spans="1:59" ht="97.5" customHeight="1" thickBot="1">
      <c r="A25" s="120"/>
      <c r="C25" s="714"/>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c r="AP25" s="715"/>
      <c r="AQ25" s="715"/>
      <c r="AR25" s="716"/>
      <c r="AS25" s="125"/>
      <c r="AT25" s="121"/>
    </row>
    <row r="26" spans="1:59" ht="12" customHeight="1">
      <c r="A26" s="120"/>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125"/>
      <c r="AT26" s="121"/>
    </row>
    <row r="27" spans="1:59" ht="15" customHeight="1">
      <c r="A27" s="120"/>
      <c r="C27" s="164" t="s">
        <v>520</v>
      </c>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125"/>
      <c r="AT27" s="121"/>
    </row>
    <row r="28" spans="1:59" ht="15" customHeight="1" thickBot="1">
      <c r="A28" s="120"/>
      <c r="C28" s="164"/>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125"/>
      <c r="AT28" s="121"/>
      <c r="AW28" s="215" t="s">
        <v>753</v>
      </c>
      <c r="AX28" s="216"/>
    </row>
    <row r="29" spans="1:59" ht="21.95" customHeight="1" thickBot="1">
      <c r="A29" s="120"/>
      <c r="C29" s="876"/>
      <c r="D29" s="877"/>
      <c r="E29" s="877"/>
      <c r="F29" s="238"/>
      <c r="G29" s="880" t="s">
        <v>747</v>
      </c>
      <c r="H29" s="880"/>
      <c r="I29" s="880"/>
      <c r="J29" s="880"/>
      <c r="K29" s="880"/>
      <c r="L29" s="880"/>
      <c r="M29" s="880"/>
      <c r="N29" s="880"/>
      <c r="O29" s="880"/>
      <c r="P29" s="880"/>
      <c r="Q29" s="880"/>
      <c r="R29" s="880"/>
      <c r="S29" s="880"/>
      <c r="T29" s="880"/>
      <c r="U29" s="880"/>
      <c r="V29" s="880"/>
      <c r="W29" s="217"/>
      <c r="X29" s="878" t="str">
        <f>IF(C29="","",IF(C29="☐","☑","□"))</f>
        <v/>
      </c>
      <c r="Y29" s="879"/>
      <c r="Z29" s="879"/>
      <c r="AA29" s="239"/>
      <c r="AB29" s="880" t="s">
        <v>748</v>
      </c>
      <c r="AC29" s="880"/>
      <c r="AD29" s="880"/>
      <c r="AE29" s="880"/>
      <c r="AF29" s="880"/>
      <c r="AG29" s="880"/>
      <c r="AH29" s="880"/>
      <c r="AI29" s="880"/>
      <c r="AJ29" s="880"/>
      <c r="AK29" s="880"/>
      <c r="AL29" s="880"/>
      <c r="AM29" s="880"/>
      <c r="AN29" s="880"/>
      <c r="AO29" s="880"/>
      <c r="AP29" s="880"/>
      <c r="AQ29" s="880"/>
      <c r="AR29" s="218"/>
      <c r="AS29" s="125"/>
      <c r="AT29" s="121"/>
      <c r="AW29" s="219" t="str">
        <f>IF(C29="","",IF(C29="☑",1,2))</f>
        <v/>
      </c>
      <c r="AX29" s="220" t="str">
        <f>IF(AW29="","",IF(AW29=1,"有","無"))</f>
        <v/>
      </c>
    </row>
    <row r="30" spans="1:59" ht="15" customHeight="1" thickBot="1">
      <c r="A30" s="120"/>
      <c r="C30" s="164"/>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125"/>
      <c r="AT30" s="121"/>
    </row>
    <row r="31" spans="1:59" ht="25.5" customHeight="1">
      <c r="A31" s="120"/>
      <c r="C31" s="885" t="s">
        <v>749</v>
      </c>
      <c r="D31" s="886"/>
      <c r="E31" s="886"/>
      <c r="F31" s="886"/>
      <c r="G31" s="886"/>
      <c r="H31" s="886"/>
      <c r="I31" s="886"/>
      <c r="J31" s="886"/>
      <c r="K31" s="886"/>
      <c r="L31" s="886"/>
      <c r="M31" s="886"/>
      <c r="N31" s="887"/>
      <c r="O31" s="888" t="s">
        <v>750</v>
      </c>
      <c r="P31" s="888"/>
      <c r="Q31" s="888"/>
      <c r="R31" s="888"/>
      <c r="S31" s="888"/>
      <c r="T31" s="888"/>
      <c r="U31" s="888"/>
      <c r="V31" s="888"/>
      <c r="W31" s="888"/>
      <c r="X31" s="889" t="s">
        <v>749</v>
      </c>
      <c r="Y31" s="889"/>
      <c r="Z31" s="889"/>
      <c r="AA31" s="889"/>
      <c r="AB31" s="889"/>
      <c r="AC31" s="889"/>
      <c r="AD31" s="889"/>
      <c r="AE31" s="889"/>
      <c r="AF31" s="889"/>
      <c r="AG31" s="889"/>
      <c r="AH31" s="889"/>
      <c r="AI31" s="889"/>
      <c r="AJ31" s="888" t="s">
        <v>750</v>
      </c>
      <c r="AK31" s="888"/>
      <c r="AL31" s="888"/>
      <c r="AM31" s="888"/>
      <c r="AN31" s="888"/>
      <c r="AO31" s="888"/>
      <c r="AP31" s="888"/>
      <c r="AQ31" s="888"/>
      <c r="AR31" s="890"/>
      <c r="AS31" s="221"/>
      <c r="AT31" s="121"/>
    </row>
    <row r="32" spans="1:59" ht="25.5" customHeight="1">
      <c r="A32" s="120"/>
      <c r="C32" s="891"/>
      <c r="D32" s="892"/>
      <c r="E32" s="892"/>
      <c r="F32" s="892"/>
      <c r="G32" s="892"/>
      <c r="H32" s="892"/>
      <c r="I32" s="892"/>
      <c r="J32" s="892"/>
      <c r="K32" s="892"/>
      <c r="L32" s="892"/>
      <c r="M32" s="892"/>
      <c r="N32" s="892"/>
      <c r="O32" s="893"/>
      <c r="P32" s="893"/>
      <c r="Q32" s="893"/>
      <c r="R32" s="893"/>
      <c r="S32" s="893"/>
      <c r="T32" s="894" t="s">
        <v>157</v>
      </c>
      <c r="U32" s="894"/>
      <c r="V32" s="894"/>
      <c r="W32" s="894"/>
      <c r="X32" s="892" t="s">
        <v>717</v>
      </c>
      <c r="Y32" s="892"/>
      <c r="Z32" s="892"/>
      <c r="AA32" s="892"/>
      <c r="AB32" s="892"/>
      <c r="AC32" s="892"/>
      <c r="AD32" s="892"/>
      <c r="AE32" s="892"/>
      <c r="AF32" s="892"/>
      <c r="AG32" s="892"/>
      <c r="AH32" s="892"/>
      <c r="AI32" s="892"/>
      <c r="AJ32" s="893"/>
      <c r="AK32" s="893"/>
      <c r="AL32" s="893"/>
      <c r="AM32" s="893"/>
      <c r="AN32" s="893"/>
      <c r="AO32" s="894" t="s">
        <v>157</v>
      </c>
      <c r="AP32" s="894"/>
      <c r="AQ32" s="894"/>
      <c r="AR32" s="895"/>
      <c r="AT32" s="121"/>
      <c r="AW32" s="222">
        <f>C32</f>
        <v>0</v>
      </c>
      <c r="AX32" s="223">
        <f>O32</f>
        <v>0</v>
      </c>
      <c r="AY32" s="224" t="s">
        <v>157</v>
      </c>
      <c r="AZ32" s="222" t="str">
        <f>X32</f>
        <v>　</v>
      </c>
      <c r="BA32" s="223">
        <f>AJ32</f>
        <v>0</v>
      </c>
      <c r="BB32" s="224" t="s">
        <v>157</v>
      </c>
    </row>
    <row r="33" spans="1:54" ht="25.5" customHeight="1">
      <c r="A33" s="120"/>
      <c r="C33" s="891"/>
      <c r="D33" s="892"/>
      <c r="E33" s="892"/>
      <c r="F33" s="892"/>
      <c r="G33" s="892"/>
      <c r="H33" s="892"/>
      <c r="I33" s="892"/>
      <c r="J33" s="892"/>
      <c r="K33" s="892"/>
      <c r="L33" s="892"/>
      <c r="M33" s="892"/>
      <c r="N33" s="892"/>
      <c r="O33" s="893"/>
      <c r="P33" s="893"/>
      <c r="Q33" s="893"/>
      <c r="R33" s="893"/>
      <c r="S33" s="893"/>
      <c r="T33" s="894" t="s">
        <v>157</v>
      </c>
      <c r="U33" s="894"/>
      <c r="V33" s="894"/>
      <c r="W33" s="894"/>
      <c r="X33" s="892"/>
      <c r="Y33" s="892"/>
      <c r="Z33" s="892"/>
      <c r="AA33" s="892"/>
      <c r="AB33" s="892"/>
      <c r="AC33" s="892"/>
      <c r="AD33" s="892"/>
      <c r="AE33" s="892"/>
      <c r="AF33" s="892"/>
      <c r="AG33" s="892"/>
      <c r="AH33" s="892"/>
      <c r="AI33" s="892"/>
      <c r="AJ33" s="893"/>
      <c r="AK33" s="893"/>
      <c r="AL33" s="893"/>
      <c r="AM33" s="893"/>
      <c r="AN33" s="893"/>
      <c r="AO33" s="894" t="s">
        <v>157</v>
      </c>
      <c r="AP33" s="894"/>
      <c r="AQ33" s="894"/>
      <c r="AR33" s="895"/>
      <c r="AT33" s="121"/>
      <c r="AW33" s="225">
        <f>C33</f>
        <v>0</v>
      </c>
      <c r="AX33" s="226">
        <f>O33</f>
        <v>0</v>
      </c>
      <c r="AY33" s="227" t="s">
        <v>157</v>
      </c>
      <c r="AZ33" s="226">
        <f>X33</f>
        <v>0</v>
      </c>
      <c r="BA33" s="226">
        <f>AJ33</f>
        <v>0</v>
      </c>
      <c r="BB33" s="227" t="s">
        <v>157</v>
      </c>
    </row>
    <row r="34" spans="1:54" ht="25.5" customHeight="1" thickBot="1">
      <c r="A34" s="120"/>
      <c r="C34" s="896"/>
      <c r="D34" s="897"/>
      <c r="E34" s="897"/>
      <c r="F34" s="897"/>
      <c r="G34" s="897"/>
      <c r="H34" s="897"/>
      <c r="I34" s="897"/>
      <c r="J34" s="897"/>
      <c r="K34" s="897"/>
      <c r="L34" s="897"/>
      <c r="M34" s="897"/>
      <c r="N34" s="897"/>
      <c r="O34" s="860"/>
      <c r="P34" s="860"/>
      <c r="Q34" s="860"/>
      <c r="R34" s="860"/>
      <c r="S34" s="860"/>
      <c r="T34" s="861" t="s">
        <v>157</v>
      </c>
      <c r="U34" s="861"/>
      <c r="V34" s="861"/>
      <c r="W34" s="861"/>
      <c r="X34" s="862"/>
      <c r="Y34" s="862"/>
      <c r="Z34" s="862"/>
      <c r="AA34" s="862"/>
      <c r="AB34" s="862"/>
      <c r="AC34" s="862"/>
      <c r="AD34" s="862"/>
      <c r="AE34" s="862"/>
      <c r="AF34" s="862"/>
      <c r="AG34" s="862"/>
      <c r="AH34" s="862"/>
      <c r="AI34" s="862"/>
      <c r="AJ34" s="860"/>
      <c r="AK34" s="860"/>
      <c r="AL34" s="860"/>
      <c r="AM34" s="860"/>
      <c r="AN34" s="860"/>
      <c r="AO34" s="861" t="s">
        <v>157</v>
      </c>
      <c r="AP34" s="861"/>
      <c r="AQ34" s="861"/>
      <c r="AR34" s="863"/>
      <c r="AT34" s="121"/>
      <c r="AW34" s="228">
        <f>C34</f>
        <v>0</v>
      </c>
      <c r="AX34" s="229">
        <f>O34</f>
        <v>0</v>
      </c>
      <c r="AY34" s="230" t="s">
        <v>157</v>
      </c>
      <c r="AZ34" s="229">
        <f>X34</f>
        <v>0</v>
      </c>
      <c r="BA34" s="229">
        <f>AJ34</f>
        <v>0</v>
      </c>
      <c r="BB34" s="230" t="s">
        <v>157</v>
      </c>
    </row>
    <row r="35" spans="1:54" ht="8.1" customHeight="1" thickBot="1">
      <c r="A35" s="120"/>
      <c r="C35" s="138"/>
      <c r="D35" s="138"/>
      <c r="E35" s="138"/>
      <c r="F35" s="138"/>
      <c r="G35" s="138"/>
      <c r="H35" s="138"/>
      <c r="I35" s="138"/>
      <c r="J35" s="138"/>
      <c r="K35" s="138"/>
      <c r="L35" s="138"/>
      <c r="M35" s="138"/>
      <c r="N35" s="138"/>
      <c r="O35" s="231"/>
      <c r="P35" s="231"/>
      <c r="Q35" s="231"/>
      <c r="R35" s="231"/>
      <c r="S35" s="231"/>
      <c r="T35" s="138"/>
      <c r="U35" s="138"/>
      <c r="V35" s="138"/>
      <c r="W35" s="138"/>
      <c r="X35" s="231"/>
      <c r="Y35" s="231"/>
      <c r="Z35" s="231"/>
      <c r="AA35" s="231"/>
      <c r="AB35" s="231"/>
      <c r="AC35" s="231"/>
      <c r="AD35" s="231"/>
      <c r="AE35" s="231"/>
      <c r="AF35" s="231"/>
      <c r="AG35" s="231"/>
      <c r="AH35" s="231"/>
      <c r="AI35" s="231"/>
      <c r="AJ35" s="231"/>
      <c r="AK35" s="231"/>
      <c r="AL35" s="231"/>
      <c r="AM35" s="231"/>
      <c r="AN35" s="231"/>
      <c r="AO35" s="138"/>
      <c r="AP35" s="138"/>
      <c r="AQ35" s="138"/>
      <c r="AR35" s="232"/>
      <c r="AT35" s="121"/>
    </row>
    <row r="36" spans="1:54" ht="25.5" customHeight="1" thickBot="1">
      <c r="A36" s="120"/>
      <c r="C36" s="233"/>
      <c r="D36" s="880" t="s">
        <v>751</v>
      </c>
      <c r="E36" s="880"/>
      <c r="F36" s="880"/>
      <c r="G36" s="880"/>
      <c r="H36" s="880"/>
      <c r="I36" s="880"/>
      <c r="J36" s="880"/>
      <c r="K36" s="880"/>
      <c r="L36" s="880"/>
      <c r="M36" s="880"/>
      <c r="N36" s="234"/>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2"/>
      <c r="AT36" s="121"/>
      <c r="AW36" s="116" t="s">
        <v>754</v>
      </c>
      <c r="AX36" s="116">
        <f>O36</f>
        <v>0</v>
      </c>
    </row>
    <row r="37" spans="1:54" ht="8.1" customHeight="1" thickBot="1">
      <c r="A37" s="120"/>
      <c r="C37" s="138"/>
      <c r="D37" s="138"/>
      <c r="E37" s="138"/>
      <c r="F37" s="138"/>
      <c r="G37" s="138"/>
      <c r="H37" s="138"/>
      <c r="I37" s="138"/>
      <c r="J37" s="138"/>
      <c r="K37" s="138"/>
      <c r="L37" s="138"/>
      <c r="M37" s="138"/>
      <c r="N37" s="138"/>
      <c r="O37" s="231"/>
      <c r="P37" s="231"/>
      <c r="Q37" s="231"/>
      <c r="R37" s="231"/>
      <c r="S37" s="231"/>
      <c r="T37" s="138"/>
      <c r="U37" s="138"/>
      <c r="V37" s="138"/>
      <c r="W37" s="138"/>
      <c r="X37" s="231"/>
      <c r="Y37" s="231"/>
      <c r="Z37" s="231"/>
      <c r="AA37" s="231"/>
      <c r="AB37" s="231"/>
      <c r="AC37" s="231"/>
      <c r="AD37" s="231"/>
      <c r="AE37" s="231"/>
      <c r="AF37" s="231"/>
      <c r="AG37" s="231"/>
      <c r="AH37" s="231"/>
      <c r="AI37" s="231"/>
      <c r="AJ37" s="231"/>
      <c r="AK37" s="231"/>
      <c r="AL37" s="231"/>
      <c r="AM37" s="231"/>
      <c r="AN37" s="231"/>
      <c r="AO37" s="138"/>
      <c r="AP37" s="138"/>
      <c r="AQ37" s="138"/>
      <c r="AR37" s="232"/>
      <c r="AT37" s="121"/>
    </row>
    <row r="38" spans="1:54" ht="25.5" customHeight="1" thickBot="1">
      <c r="A38" s="120"/>
      <c r="C38" s="235"/>
      <c r="D38" s="880" t="s">
        <v>752</v>
      </c>
      <c r="E38" s="880"/>
      <c r="F38" s="880"/>
      <c r="G38" s="880"/>
      <c r="H38" s="880"/>
      <c r="I38" s="880"/>
      <c r="J38" s="880"/>
      <c r="K38" s="880"/>
      <c r="L38" s="880"/>
      <c r="M38" s="880"/>
      <c r="N38" s="236"/>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c r="AL38" s="883"/>
      <c r="AM38" s="883"/>
      <c r="AN38" s="883"/>
      <c r="AO38" s="883"/>
      <c r="AP38" s="883"/>
      <c r="AQ38" s="883"/>
      <c r="AR38" s="884"/>
      <c r="AT38" s="121"/>
      <c r="AW38" s="116" t="s">
        <v>755</v>
      </c>
      <c r="AX38" s="116">
        <f>O38</f>
        <v>0</v>
      </c>
    </row>
    <row r="39" spans="1:54">
      <c r="A39" s="120"/>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1"/>
    </row>
    <row r="40" spans="1:54" ht="3" customHeight="1">
      <c r="A40" s="146"/>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8"/>
    </row>
    <row r="41" spans="1:54" ht="12" customHeight="1">
      <c r="A41" s="118"/>
      <c r="C41" s="189"/>
      <c r="R41" s="755"/>
      <c r="S41" s="755"/>
      <c r="T41" s="755"/>
      <c r="AA41" s="156"/>
      <c r="AB41" s="156"/>
      <c r="AC41" s="156"/>
      <c r="AD41" s="156"/>
      <c r="AE41" s="156"/>
      <c r="AF41" s="156"/>
      <c r="AG41" s="156"/>
      <c r="AH41" s="156"/>
      <c r="AI41" s="156"/>
      <c r="AJ41" s="156"/>
      <c r="AK41" s="156"/>
      <c r="AL41" s="156"/>
      <c r="AM41" s="156"/>
      <c r="AN41" s="156"/>
      <c r="AO41" s="156"/>
      <c r="AP41" s="156"/>
      <c r="AQ41" s="156"/>
      <c r="AR41" s="156"/>
      <c r="AS41" s="156"/>
      <c r="AT41" s="237" t="s">
        <v>478</v>
      </c>
    </row>
    <row r="42" spans="1:54" ht="13.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54" ht="13.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54" ht="13.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54" ht="13.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54" ht="13.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sheetData>
  <sheetProtection algorithmName="SHA-512" hashValue="r/qMaRpaZnwZJPBU4if9o26sw0PArdGbuGqkOX0pMUwDcbuctVgFf0hm2RCjgE+1clQgBEEGwbIcpwEesxSI/w==" saltValue="e3/Pe+gDscYBh/G3zZLogQ==" spinCount="100000" sheet="1" objects="1" scenarios="1" formatRows="0" selectLockedCells="1"/>
  <mergeCells count="121">
    <mergeCell ref="D36:M36"/>
    <mergeCell ref="O36:AR36"/>
    <mergeCell ref="D38:M38"/>
    <mergeCell ref="O38:AR38"/>
    <mergeCell ref="R41:T41"/>
    <mergeCell ref="G29:V29"/>
    <mergeCell ref="AB29:AQ29"/>
    <mergeCell ref="C31:N31"/>
    <mergeCell ref="O31:W31"/>
    <mergeCell ref="X31:AI31"/>
    <mergeCell ref="AJ31:AR31"/>
    <mergeCell ref="C32:N32"/>
    <mergeCell ref="O32:S32"/>
    <mergeCell ref="T32:W32"/>
    <mergeCell ref="X32:AI32"/>
    <mergeCell ref="AJ32:AN32"/>
    <mergeCell ref="AO32:AR32"/>
    <mergeCell ref="C33:N33"/>
    <mergeCell ref="O33:S33"/>
    <mergeCell ref="T33:W33"/>
    <mergeCell ref="X33:AI33"/>
    <mergeCell ref="AJ33:AN33"/>
    <mergeCell ref="AO33:AR33"/>
    <mergeCell ref="C34:N34"/>
    <mergeCell ref="O34:S34"/>
    <mergeCell ref="T34:W34"/>
    <mergeCell ref="X34:AI34"/>
    <mergeCell ref="AJ34:AN34"/>
    <mergeCell ref="AO34:AR34"/>
    <mergeCell ref="L19:O19"/>
    <mergeCell ref="P19:S19"/>
    <mergeCell ref="C20:G20"/>
    <mergeCell ref="T19:W19"/>
    <mergeCell ref="X19:Z19"/>
    <mergeCell ref="AD19:AF19"/>
    <mergeCell ref="L21:O21"/>
    <mergeCell ref="P21:S21"/>
    <mergeCell ref="T21:W21"/>
    <mergeCell ref="X21:Z21"/>
    <mergeCell ref="AA21:AC21"/>
    <mergeCell ref="AD21:AF21"/>
    <mergeCell ref="AN19:AR19"/>
    <mergeCell ref="H19:K19"/>
    <mergeCell ref="C19:G19"/>
    <mergeCell ref="C29:E29"/>
    <mergeCell ref="X29:Z29"/>
    <mergeCell ref="AN18:AR18"/>
    <mergeCell ref="AN20:AR20"/>
    <mergeCell ref="AD17:AF17"/>
    <mergeCell ref="AD16:AF16"/>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AD18:AF18"/>
    <mergeCell ref="AG18:AI18"/>
    <mergeCell ref="AJ18:AM18"/>
    <mergeCell ref="C18:G18"/>
    <mergeCell ref="H15:K16"/>
    <mergeCell ref="C15:G16"/>
    <mergeCell ref="P17:S17"/>
    <mergeCell ref="L17:O17"/>
    <mergeCell ref="H17:K17"/>
    <mergeCell ref="H18:K18"/>
    <mergeCell ref="L18:O18"/>
    <mergeCell ref="P18:S18"/>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R10:U10"/>
    <mergeCell ref="V10:Y10"/>
    <mergeCell ref="D11:E11"/>
    <mergeCell ref="G11:AR11"/>
    <mergeCell ref="BC15:BG15"/>
    <mergeCell ref="BC16:BG16"/>
    <mergeCell ref="BC17:BG17"/>
    <mergeCell ref="BC18:BG18"/>
    <mergeCell ref="C25:AR25"/>
    <mergeCell ref="C21:G21"/>
    <mergeCell ref="H21:K21"/>
    <mergeCell ref="BC19:BG19"/>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s>
  <phoneticPr fontId="2"/>
  <dataValidations count="6">
    <dataValidation imeMode="on" allowBlank="1" showInputMessage="1" showErrorMessage="1" sqref="G8:AR9 G11:AR11 C25:AR26 AR29:AR30 T37:W37 AA29:AB29 T32:W35 C35:C38 D27:AR28 D30:AQ30 C31 X31"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list" allowBlank="1" showInputMessage="1" sqref="C32:N34" xr:uid="{00000000-0002-0000-0300-000003000000}">
      <formula1>"　,SBT,CDP,RE100"</formula1>
    </dataValidation>
    <dataValidation type="list" imeMode="on" allowBlank="1" showInputMessage="1" sqref="X32:AI34" xr:uid="{00000000-0002-0000-0300-000004000000}">
      <formula1>"　,SBT,CDP,RE100"</formula1>
    </dataValidation>
    <dataValidation type="whole" allowBlank="1" showInputMessage="1" showErrorMessage="1" errorTitle="無効な入力" error="2000から2050の範囲で数値を入力してください。" sqref="O32:S34 AJ32:AN34" xr:uid="{00000000-0002-0000-0300-000005000000}">
      <formula1>2000</formula1>
      <formula2>2050</formula2>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5"/>
  <cols>
    <col min="1" max="1" width="0.5" style="241" customWidth="1"/>
    <col min="2" max="12" width="2.375" style="241" customWidth="1"/>
    <col min="13" max="43" width="2.125" style="241" customWidth="1"/>
    <col min="44" max="44" width="0.5" style="241" customWidth="1"/>
    <col min="45" max="45" width="2.125" style="241" customWidth="1"/>
    <col min="46" max="46" width="8.625" style="241" hidden="1" customWidth="1"/>
    <col min="47" max="49" width="5.625" style="241" hidden="1" customWidth="1"/>
    <col min="50" max="50" width="5.625" style="1" hidden="1" customWidth="1"/>
    <col min="51" max="105" width="2.125" style="241" customWidth="1"/>
    <col min="106" max="16384" width="9" style="241"/>
  </cols>
  <sheetData>
    <row r="1" spans="1:50" ht="12" customHeight="1">
      <c r="A1" s="240" t="s">
        <v>354</v>
      </c>
      <c r="B1" s="240"/>
    </row>
    <row r="2" spans="1:50" ht="3" customHeight="1">
      <c r="A2" s="242"/>
      <c r="B2" s="243"/>
      <c r="C2" s="243"/>
      <c r="D2" s="243"/>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5"/>
    </row>
    <row r="3" spans="1:50" ht="12" customHeight="1">
      <c r="A3" s="246"/>
      <c r="B3" s="240"/>
      <c r="C3" s="240"/>
      <c r="D3" s="240"/>
      <c r="AR3" s="247"/>
    </row>
    <row r="4" spans="1:50" s="116" customFormat="1" ht="13.5" customHeight="1">
      <c r="A4" s="120"/>
      <c r="C4" s="116" t="s">
        <v>466</v>
      </c>
      <c r="AR4" s="121"/>
    </row>
    <row r="5" spans="1:50" s="116" customFormat="1" ht="13.5" customHeight="1" thickBot="1">
      <c r="A5" s="120"/>
      <c r="C5" s="116" t="s">
        <v>703</v>
      </c>
      <c r="AR5" s="121"/>
    </row>
    <row r="6" spans="1:50" s="116" customFormat="1" ht="13.5" customHeight="1">
      <c r="A6" s="120"/>
      <c r="C6" s="958" t="s">
        <v>704</v>
      </c>
      <c r="D6" s="959"/>
      <c r="E6" s="959"/>
      <c r="F6" s="959"/>
      <c r="G6" s="959"/>
      <c r="H6" s="959"/>
      <c r="I6" s="959"/>
      <c r="J6" s="959"/>
      <c r="K6" s="959"/>
      <c r="L6" s="959"/>
      <c r="M6" s="959" t="s">
        <v>765</v>
      </c>
      <c r="N6" s="959"/>
      <c r="O6" s="959"/>
      <c r="P6" s="959"/>
      <c r="Q6" s="959"/>
      <c r="R6" s="959"/>
      <c r="S6" s="959"/>
      <c r="T6" s="959"/>
      <c r="U6" s="959"/>
      <c r="V6" s="959"/>
      <c r="W6" s="959" t="s">
        <v>419</v>
      </c>
      <c r="X6" s="959"/>
      <c r="Y6" s="959"/>
      <c r="Z6" s="959"/>
      <c r="AA6" s="959"/>
      <c r="AB6" s="959"/>
      <c r="AC6" s="959"/>
      <c r="AD6" s="959"/>
      <c r="AE6" s="959"/>
      <c r="AF6" s="961"/>
      <c r="AR6" s="121"/>
    </row>
    <row r="7" spans="1:50" s="116" customFormat="1" ht="13.5" customHeight="1">
      <c r="A7" s="120"/>
      <c r="C7" s="960"/>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912"/>
      <c r="AR7" s="121"/>
      <c r="AT7" s="116" t="s">
        <v>704</v>
      </c>
      <c r="AU7" s="116" t="s">
        <v>423</v>
      </c>
      <c r="AV7" s="116" t="s">
        <v>419</v>
      </c>
    </row>
    <row r="8" spans="1:50" s="116" customFormat="1" ht="27.75" customHeight="1" thickBot="1">
      <c r="A8" s="120"/>
      <c r="C8" s="962" t="str">
        <f>IF(評価シート!F27&lt;&gt;"",評価シート!F27,"")</f>
        <v/>
      </c>
      <c r="D8" s="963"/>
      <c r="E8" s="963"/>
      <c r="F8" s="963"/>
      <c r="G8" s="963"/>
      <c r="H8" s="964"/>
      <c r="I8" s="965" t="s">
        <v>157</v>
      </c>
      <c r="J8" s="966"/>
      <c r="K8" s="966"/>
      <c r="L8" s="966"/>
      <c r="M8" s="963" t="str">
        <f>IF(評価シート!J27&lt;&gt;"",評価シート!J27,"")</f>
        <v/>
      </c>
      <c r="N8" s="963"/>
      <c r="O8" s="963"/>
      <c r="P8" s="963"/>
      <c r="Q8" s="963"/>
      <c r="R8" s="964"/>
      <c r="S8" s="965" t="s">
        <v>128</v>
      </c>
      <c r="T8" s="966"/>
      <c r="U8" s="966"/>
      <c r="V8" s="966"/>
      <c r="W8" s="967" t="str">
        <f>IF(評価シート!Q27&lt;&gt;"",評価シート!Q27,"")</f>
        <v/>
      </c>
      <c r="X8" s="967"/>
      <c r="Y8" s="967"/>
      <c r="Z8" s="967"/>
      <c r="AA8" s="967"/>
      <c r="AB8" s="968"/>
      <c r="AC8" s="965" t="s">
        <v>705</v>
      </c>
      <c r="AD8" s="966"/>
      <c r="AE8" s="966"/>
      <c r="AF8" s="969"/>
      <c r="AR8" s="121"/>
      <c r="AT8" s="116">
        <f>評価シート!F27</f>
        <v>0</v>
      </c>
      <c r="AU8" s="248">
        <f>評価シート!J27</f>
        <v>0</v>
      </c>
      <c r="AV8" s="116">
        <f>評価シート!Q27</f>
        <v>0</v>
      </c>
      <c r="AW8" s="116" t="str">
        <f>評価シート!AA8</f>
        <v>評価対象外</v>
      </c>
    </row>
    <row r="9" spans="1:50" s="116" customFormat="1" ht="13.5" customHeight="1">
      <c r="A9" s="120"/>
      <c r="AR9" s="121"/>
    </row>
    <row r="10" spans="1:50" s="116" customFormat="1" ht="12.75" customHeight="1" thickBot="1">
      <c r="A10" s="120"/>
      <c r="C10" s="116" t="s">
        <v>706</v>
      </c>
      <c r="AP10" s="249" t="s">
        <v>330</v>
      </c>
      <c r="AQ10" s="249"/>
      <c r="AR10" s="121"/>
    </row>
    <row r="11" spans="1:50" s="116" customFormat="1" ht="24" customHeight="1" thickBot="1">
      <c r="A11" s="120"/>
      <c r="C11" s="903"/>
      <c r="D11" s="904"/>
      <c r="E11" s="904"/>
      <c r="F11" s="904"/>
      <c r="G11" s="904"/>
      <c r="H11" s="904"/>
      <c r="I11" s="904"/>
      <c r="J11" s="904"/>
      <c r="K11" s="904"/>
      <c r="L11" s="905"/>
      <c r="M11" s="906">
        <v>2025</v>
      </c>
      <c r="N11" s="907"/>
      <c r="O11" s="907"/>
      <c r="P11" s="904" t="s">
        <v>356</v>
      </c>
      <c r="Q11" s="904"/>
      <c r="R11" s="905"/>
      <c r="S11" s="906">
        <v>2026</v>
      </c>
      <c r="T11" s="907"/>
      <c r="U11" s="907"/>
      <c r="V11" s="904" t="s">
        <v>356</v>
      </c>
      <c r="W11" s="904"/>
      <c r="X11" s="905"/>
      <c r="Y11" s="906">
        <v>2027</v>
      </c>
      <c r="Z11" s="907"/>
      <c r="AA11" s="907"/>
      <c r="AB11" s="904" t="s">
        <v>356</v>
      </c>
      <c r="AC11" s="904"/>
      <c r="AD11" s="905"/>
      <c r="AE11" s="906">
        <v>2028</v>
      </c>
      <c r="AF11" s="907"/>
      <c r="AG11" s="907"/>
      <c r="AH11" s="904" t="s">
        <v>356</v>
      </c>
      <c r="AI11" s="904"/>
      <c r="AJ11" s="905"/>
      <c r="AK11" s="906">
        <v>2029</v>
      </c>
      <c r="AL11" s="907"/>
      <c r="AM11" s="907"/>
      <c r="AN11" s="904" t="s">
        <v>157</v>
      </c>
      <c r="AO11" s="904"/>
      <c r="AP11" s="908"/>
      <c r="AQ11" s="139"/>
      <c r="AR11" s="121"/>
      <c r="AT11" s="139">
        <v>2025</v>
      </c>
      <c r="AU11" s="139">
        <v>2026</v>
      </c>
      <c r="AV11" s="139">
        <v>2027</v>
      </c>
      <c r="AW11" s="139">
        <v>2028</v>
      </c>
      <c r="AX11" s="139">
        <v>2029</v>
      </c>
    </row>
    <row r="12" spans="1:50" s="116" customFormat="1" ht="34.5" customHeight="1" thickTop="1" thickBot="1">
      <c r="A12" s="120"/>
      <c r="C12" s="955" t="s">
        <v>331</v>
      </c>
      <c r="D12" s="956"/>
      <c r="E12" s="956"/>
      <c r="F12" s="956"/>
      <c r="G12" s="956"/>
      <c r="H12" s="956"/>
      <c r="I12" s="956"/>
      <c r="J12" s="956"/>
      <c r="K12" s="956"/>
      <c r="L12" s="957"/>
      <c r="M12" s="898"/>
      <c r="N12" s="898"/>
      <c r="O12" s="898"/>
      <c r="P12" s="898"/>
      <c r="Q12" s="898"/>
      <c r="R12" s="898"/>
      <c r="S12" s="898"/>
      <c r="T12" s="898"/>
      <c r="U12" s="898"/>
      <c r="V12" s="898"/>
      <c r="W12" s="898"/>
      <c r="X12" s="898"/>
      <c r="Y12" s="898"/>
      <c r="Z12" s="898"/>
      <c r="AA12" s="898"/>
      <c r="AB12" s="898"/>
      <c r="AC12" s="898"/>
      <c r="AD12" s="898"/>
      <c r="AE12" s="898"/>
      <c r="AF12" s="898"/>
      <c r="AG12" s="898"/>
      <c r="AH12" s="898"/>
      <c r="AI12" s="898"/>
      <c r="AJ12" s="898"/>
      <c r="AK12" s="898"/>
      <c r="AL12" s="898"/>
      <c r="AM12" s="898"/>
      <c r="AN12" s="898"/>
      <c r="AO12" s="898"/>
      <c r="AP12" s="899"/>
      <c r="AQ12" s="139"/>
      <c r="AR12" s="121"/>
      <c r="AT12" s="139" t="str">
        <f>IF(その1!$H$4-AT11=1,IF(ISNUMBER(M12),IF(M12=評価シート!$J$29,"○","×"),""),"")</f>
        <v/>
      </c>
      <c r="AU12" s="139" t="str">
        <f>IF(その1!$H$4-AU11=1,IF(ISNUMBER(S12),IF(S12=評価シート!$J$29,"○","×"),""),IF(AND(ISNUMBER(S12),AU11&gt;(その1!$H$4-1)),"×",""))</f>
        <v/>
      </c>
      <c r="AV12" s="139" t="str">
        <f>IF(その1!$H$4-AV11=1,IF(ISNUMBER(Y12),IF(Y12=評価シート!$J$29,"○","×"),""),IF(AND(ISNUMBER(Y12),AV11&gt;(その1!$H$4-1)),"×",""))</f>
        <v/>
      </c>
      <c r="AW12" s="139" t="str">
        <f>IF(その1!$H$4-AW11=1,IF(ISNUMBER(AE12),IF(AE12=評価シート!$J$29,"○","×"),""),IF(AND(ISNUMBER(AE12),AW11&gt;(その1!$H$4-1)),"×",""))</f>
        <v/>
      </c>
      <c r="AX12" s="139" t="str">
        <f>IF(その1!$H$4-AX11=1,IF(ISNUMBER(AK12),IF(AK12=評価シート!$J$29,"○","×"),""),IF(AND(ISNUMBER(AK12),AX11&gt;(その1!$H$4-1)),"×",""))</f>
        <v/>
      </c>
    </row>
    <row r="13" spans="1:50" s="116" customFormat="1" ht="28.5" hidden="1" customHeight="1">
      <c r="A13" s="120"/>
      <c r="C13" s="930" t="s">
        <v>332</v>
      </c>
      <c r="D13" s="931"/>
      <c r="E13" s="935" t="s">
        <v>333</v>
      </c>
      <c r="F13" s="936"/>
      <c r="G13" s="936"/>
      <c r="H13" s="936"/>
      <c r="I13" s="936"/>
      <c r="J13" s="936"/>
      <c r="K13" s="936"/>
      <c r="L13" s="937"/>
      <c r="M13" s="934"/>
      <c r="N13" s="934"/>
      <c r="O13" s="934"/>
      <c r="P13" s="934"/>
      <c r="Q13" s="934"/>
      <c r="R13" s="934"/>
      <c r="S13" s="938"/>
      <c r="T13" s="938"/>
      <c r="U13" s="938"/>
      <c r="V13" s="938"/>
      <c r="W13" s="938"/>
      <c r="X13" s="938"/>
      <c r="Y13" s="938"/>
      <c r="Z13" s="938"/>
      <c r="AA13" s="938"/>
      <c r="AB13" s="938"/>
      <c r="AC13" s="938"/>
      <c r="AD13" s="938"/>
      <c r="AE13" s="938"/>
      <c r="AF13" s="938"/>
      <c r="AG13" s="938"/>
      <c r="AH13" s="938"/>
      <c r="AI13" s="938"/>
      <c r="AJ13" s="938"/>
      <c r="AK13" s="953"/>
      <c r="AL13" s="953"/>
      <c r="AM13" s="953"/>
      <c r="AN13" s="953"/>
      <c r="AO13" s="953"/>
      <c r="AP13" s="954"/>
      <c r="AQ13" s="139"/>
      <c r="AR13" s="121"/>
    </row>
    <row r="14" spans="1:50" s="116" customFormat="1" ht="28.5" hidden="1" customHeight="1">
      <c r="A14" s="120"/>
      <c r="C14" s="729"/>
      <c r="D14" s="730"/>
      <c r="E14" s="923" t="s">
        <v>334</v>
      </c>
      <c r="F14" s="924"/>
      <c r="G14" s="924"/>
      <c r="H14" s="924"/>
      <c r="I14" s="924"/>
      <c r="J14" s="924"/>
      <c r="K14" s="924"/>
      <c r="L14" s="925"/>
      <c r="M14" s="926"/>
      <c r="N14" s="926"/>
      <c r="O14" s="926"/>
      <c r="P14" s="926"/>
      <c r="Q14" s="926"/>
      <c r="R14" s="926"/>
      <c r="S14" s="910"/>
      <c r="T14" s="910"/>
      <c r="U14" s="910"/>
      <c r="V14" s="910"/>
      <c r="W14" s="910"/>
      <c r="X14" s="910"/>
      <c r="Y14" s="910"/>
      <c r="Z14" s="910"/>
      <c r="AA14" s="910"/>
      <c r="AB14" s="910"/>
      <c r="AC14" s="910"/>
      <c r="AD14" s="910"/>
      <c r="AE14" s="910"/>
      <c r="AF14" s="910"/>
      <c r="AG14" s="910"/>
      <c r="AH14" s="910"/>
      <c r="AI14" s="910"/>
      <c r="AJ14" s="910"/>
      <c r="AK14" s="679"/>
      <c r="AL14" s="679"/>
      <c r="AM14" s="679"/>
      <c r="AN14" s="679"/>
      <c r="AO14" s="679"/>
      <c r="AP14" s="912"/>
      <c r="AQ14" s="139"/>
      <c r="AR14" s="121"/>
    </row>
    <row r="15" spans="1:50" s="116" customFormat="1" ht="28.5" hidden="1" customHeight="1">
      <c r="A15" s="120"/>
      <c r="C15" s="729"/>
      <c r="D15" s="730"/>
      <c r="E15" s="923" t="s">
        <v>335</v>
      </c>
      <c r="F15" s="924"/>
      <c r="G15" s="924"/>
      <c r="H15" s="924"/>
      <c r="I15" s="924"/>
      <c r="J15" s="924"/>
      <c r="K15" s="924"/>
      <c r="L15" s="925"/>
      <c r="M15" s="926"/>
      <c r="N15" s="926"/>
      <c r="O15" s="926"/>
      <c r="P15" s="926"/>
      <c r="Q15" s="926"/>
      <c r="R15" s="926"/>
      <c r="S15" s="910"/>
      <c r="T15" s="910"/>
      <c r="U15" s="910"/>
      <c r="V15" s="910"/>
      <c r="W15" s="910"/>
      <c r="X15" s="910"/>
      <c r="Y15" s="910"/>
      <c r="Z15" s="910"/>
      <c r="AA15" s="910"/>
      <c r="AB15" s="910"/>
      <c r="AC15" s="910"/>
      <c r="AD15" s="910"/>
      <c r="AE15" s="910"/>
      <c r="AF15" s="910"/>
      <c r="AG15" s="910"/>
      <c r="AH15" s="910"/>
      <c r="AI15" s="910"/>
      <c r="AJ15" s="910"/>
      <c r="AK15" s="679"/>
      <c r="AL15" s="679"/>
      <c r="AM15" s="679"/>
      <c r="AN15" s="679"/>
      <c r="AO15" s="679"/>
      <c r="AP15" s="912"/>
      <c r="AQ15" s="139"/>
      <c r="AR15" s="121"/>
    </row>
    <row r="16" spans="1:50" s="116" customFormat="1" ht="28.5" hidden="1" customHeight="1">
      <c r="A16" s="120"/>
      <c r="C16" s="729"/>
      <c r="D16" s="730"/>
      <c r="E16" s="923" t="s">
        <v>336</v>
      </c>
      <c r="F16" s="924"/>
      <c r="G16" s="924"/>
      <c r="H16" s="924"/>
      <c r="I16" s="924"/>
      <c r="J16" s="924"/>
      <c r="K16" s="924"/>
      <c r="L16" s="925"/>
      <c r="M16" s="926"/>
      <c r="N16" s="926"/>
      <c r="O16" s="926"/>
      <c r="P16" s="926"/>
      <c r="Q16" s="926"/>
      <c r="R16" s="926"/>
      <c r="S16" s="910"/>
      <c r="T16" s="910"/>
      <c r="U16" s="910"/>
      <c r="V16" s="910"/>
      <c r="W16" s="910"/>
      <c r="X16" s="910"/>
      <c r="Y16" s="910"/>
      <c r="Z16" s="910"/>
      <c r="AA16" s="910"/>
      <c r="AB16" s="910"/>
      <c r="AC16" s="910"/>
      <c r="AD16" s="910"/>
      <c r="AE16" s="910"/>
      <c r="AF16" s="910"/>
      <c r="AG16" s="910"/>
      <c r="AH16" s="910"/>
      <c r="AI16" s="910"/>
      <c r="AJ16" s="910"/>
      <c r="AK16" s="679"/>
      <c r="AL16" s="679"/>
      <c r="AM16" s="679"/>
      <c r="AN16" s="679"/>
      <c r="AO16" s="679"/>
      <c r="AP16" s="912"/>
      <c r="AQ16" s="139"/>
      <c r="AR16" s="121"/>
    </row>
    <row r="17" spans="1:50" s="116" customFormat="1" ht="28.5" hidden="1" customHeight="1">
      <c r="A17" s="120"/>
      <c r="C17" s="729"/>
      <c r="D17" s="730"/>
      <c r="E17" s="923" t="s">
        <v>337</v>
      </c>
      <c r="F17" s="924"/>
      <c r="G17" s="924"/>
      <c r="H17" s="924"/>
      <c r="I17" s="924"/>
      <c r="J17" s="924"/>
      <c r="K17" s="924"/>
      <c r="L17" s="925"/>
      <c r="M17" s="926"/>
      <c r="N17" s="926"/>
      <c r="O17" s="926"/>
      <c r="P17" s="926"/>
      <c r="Q17" s="926"/>
      <c r="R17" s="926"/>
      <c r="S17" s="910"/>
      <c r="T17" s="910"/>
      <c r="U17" s="910"/>
      <c r="V17" s="910"/>
      <c r="W17" s="910"/>
      <c r="X17" s="910"/>
      <c r="Y17" s="910"/>
      <c r="Z17" s="910"/>
      <c r="AA17" s="910"/>
      <c r="AB17" s="910"/>
      <c r="AC17" s="910"/>
      <c r="AD17" s="910"/>
      <c r="AE17" s="910"/>
      <c r="AF17" s="910"/>
      <c r="AG17" s="910"/>
      <c r="AH17" s="910"/>
      <c r="AI17" s="910"/>
      <c r="AJ17" s="910"/>
      <c r="AK17" s="679"/>
      <c r="AL17" s="679"/>
      <c r="AM17" s="679"/>
      <c r="AN17" s="679"/>
      <c r="AO17" s="679"/>
      <c r="AP17" s="912"/>
      <c r="AQ17" s="139"/>
      <c r="AR17" s="121"/>
    </row>
    <row r="18" spans="1:50" s="116" customFormat="1" ht="28.5" hidden="1" customHeight="1">
      <c r="A18" s="120"/>
      <c r="C18" s="729"/>
      <c r="D18" s="730"/>
      <c r="E18" s="923" t="s">
        <v>338</v>
      </c>
      <c r="F18" s="924"/>
      <c r="G18" s="924"/>
      <c r="H18" s="924"/>
      <c r="I18" s="924"/>
      <c r="J18" s="924"/>
      <c r="K18" s="924"/>
      <c r="L18" s="925"/>
      <c r="M18" s="926"/>
      <c r="N18" s="926"/>
      <c r="O18" s="926"/>
      <c r="P18" s="926"/>
      <c r="Q18" s="926"/>
      <c r="R18" s="926"/>
      <c r="S18" s="910"/>
      <c r="T18" s="910"/>
      <c r="U18" s="910"/>
      <c r="V18" s="910"/>
      <c r="W18" s="910"/>
      <c r="X18" s="910"/>
      <c r="Y18" s="910"/>
      <c r="Z18" s="910"/>
      <c r="AA18" s="910"/>
      <c r="AB18" s="910"/>
      <c r="AC18" s="910"/>
      <c r="AD18" s="910"/>
      <c r="AE18" s="910"/>
      <c r="AF18" s="910"/>
      <c r="AG18" s="910"/>
      <c r="AH18" s="910"/>
      <c r="AI18" s="910"/>
      <c r="AJ18" s="910"/>
      <c r="AK18" s="679"/>
      <c r="AL18" s="679"/>
      <c r="AM18" s="679"/>
      <c r="AN18" s="679"/>
      <c r="AO18" s="679"/>
      <c r="AP18" s="912"/>
      <c r="AQ18" s="139"/>
      <c r="AR18" s="121"/>
    </row>
    <row r="19" spans="1:50" s="116" customFormat="1" ht="28.5" hidden="1" customHeight="1" thickBot="1">
      <c r="A19" s="120"/>
      <c r="C19" s="932"/>
      <c r="D19" s="933"/>
      <c r="E19" s="950" t="s">
        <v>339</v>
      </c>
      <c r="F19" s="951"/>
      <c r="G19" s="951"/>
      <c r="H19" s="951"/>
      <c r="I19" s="951"/>
      <c r="J19" s="951"/>
      <c r="K19" s="951"/>
      <c r="L19" s="952"/>
      <c r="M19" s="921"/>
      <c r="N19" s="921"/>
      <c r="O19" s="921"/>
      <c r="P19" s="921"/>
      <c r="Q19" s="921"/>
      <c r="R19" s="921"/>
      <c r="S19" s="921"/>
      <c r="T19" s="921"/>
      <c r="U19" s="921"/>
      <c r="V19" s="921"/>
      <c r="W19" s="921"/>
      <c r="X19" s="921"/>
      <c r="Y19" s="939"/>
      <c r="Z19" s="939"/>
      <c r="AA19" s="939"/>
      <c r="AB19" s="939"/>
      <c r="AC19" s="939"/>
      <c r="AD19" s="939"/>
      <c r="AE19" s="949" t="str">
        <f>IF(AND('その6（非公表）'!AH8="",'その6（非公表）'!AH9=""),"",IF('その6（非公表）'!AH8="",'その6（非公表）'!AH9,IF('その6（非公表）'!AH9="",'その6（非公表）'!AH8,'その6（非公表）'!AH8+'その6（非公表）'!AH9)))</f>
        <v/>
      </c>
      <c r="AF19" s="949"/>
      <c r="AG19" s="949"/>
      <c r="AH19" s="949"/>
      <c r="AI19" s="949"/>
      <c r="AJ19" s="949"/>
      <c r="AK19" s="915"/>
      <c r="AL19" s="915"/>
      <c r="AM19" s="915"/>
      <c r="AN19" s="915"/>
      <c r="AO19" s="915"/>
      <c r="AP19" s="916"/>
      <c r="AQ19" s="139"/>
      <c r="AR19" s="121"/>
    </row>
    <row r="20" spans="1:50" s="116" customFormat="1" ht="28.5" hidden="1" customHeight="1" thickTop="1" thickBot="1">
      <c r="A20" s="120"/>
      <c r="C20" s="927" t="s">
        <v>340</v>
      </c>
      <c r="D20" s="928"/>
      <c r="E20" s="928"/>
      <c r="F20" s="928"/>
      <c r="G20" s="928"/>
      <c r="H20" s="928"/>
      <c r="I20" s="928"/>
      <c r="J20" s="928"/>
      <c r="K20" s="928"/>
      <c r="L20" s="929"/>
      <c r="M20" s="922">
        <f>SUM(M12:R19)</f>
        <v>0</v>
      </c>
      <c r="N20" s="922"/>
      <c r="O20" s="922"/>
      <c r="P20" s="922"/>
      <c r="Q20" s="922"/>
      <c r="R20" s="922"/>
      <c r="S20" s="922">
        <f>SUM(S12:X19)</f>
        <v>0</v>
      </c>
      <c r="T20" s="922"/>
      <c r="U20" s="922"/>
      <c r="V20" s="922"/>
      <c r="W20" s="922"/>
      <c r="X20" s="922"/>
      <c r="Y20" s="922">
        <f>SUM(Y12:AD19)</f>
        <v>0</v>
      </c>
      <c r="Z20" s="922"/>
      <c r="AA20" s="922"/>
      <c r="AB20" s="922"/>
      <c r="AC20" s="922"/>
      <c r="AD20" s="922"/>
      <c r="AE20" s="917">
        <f>SUM(AE12:AJ19)</f>
        <v>0</v>
      </c>
      <c r="AF20" s="913"/>
      <c r="AG20" s="913"/>
      <c r="AH20" s="913"/>
      <c r="AI20" s="913"/>
      <c r="AJ20" s="913"/>
      <c r="AK20" s="913"/>
      <c r="AL20" s="913"/>
      <c r="AM20" s="913"/>
      <c r="AN20" s="913"/>
      <c r="AO20" s="913"/>
      <c r="AP20" s="914"/>
      <c r="AQ20" s="139"/>
      <c r="AR20" s="121"/>
    </row>
    <row r="21" spans="1:50" s="116" customFormat="1" ht="12">
      <c r="A21" s="120"/>
      <c r="D21" s="155"/>
      <c r="E21" s="155"/>
      <c r="F21" s="155"/>
      <c r="G21" s="155"/>
      <c r="H21" s="155"/>
      <c r="I21" s="155"/>
      <c r="J21" s="155"/>
      <c r="M21" s="250"/>
      <c r="N21" s="139"/>
      <c r="O21" s="139"/>
      <c r="P21" s="139"/>
      <c r="Q21" s="139"/>
      <c r="R21" s="139"/>
      <c r="S21" s="250"/>
      <c r="T21" s="139"/>
      <c r="U21" s="139"/>
      <c r="V21" s="139"/>
      <c r="W21" s="139"/>
      <c r="X21" s="139"/>
      <c r="Y21" s="250"/>
      <c r="Z21" s="139"/>
      <c r="AA21" s="139"/>
      <c r="AB21" s="139"/>
      <c r="AC21" s="139"/>
      <c r="AD21" s="139"/>
      <c r="AE21" s="250"/>
      <c r="AF21" s="139"/>
      <c r="AG21" s="139"/>
      <c r="AH21" s="139"/>
      <c r="AI21" s="139"/>
      <c r="AJ21" s="139"/>
      <c r="AK21" s="139"/>
      <c r="AL21" s="139"/>
      <c r="AM21" s="139"/>
      <c r="AN21" s="139"/>
      <c r="AO21" s="139"/>
      <c r="AP21" s="189" t="str">
        <f>IF(COUNTIF(AT11:AX12,"×")&gt;0,AT39,"")</f>
        <v/>
      </c>
      <c r="AQ21" s="139"/>
      <c r="AR21" s="121"/>
    </row>
    <row r="22" spans="1:50" s="116" customFormat="1" ht="12" hidden="1">
      <c r="A22" s="120"/>
      <c r="C22" s="116" t="s">
        <v>53</v>
      </c>
      <c r="D22" s="155"/>
      <c r="E22" s="155"/>
      <c r="F22" s="155"/>
      <c r="G22" s="155"/>
      <c r="H22" s="155"/>
      <c r="I22" s="155"/>
      <c r="J22" s="155"/>
      <c r="M22" s="250"/>
      <c r="N22" s="139"/>
      <c r="O22" s="139"/>
      <c r="P22" s="139"/>
      <c r="Q22" s="139"/>
      <c r="R22" s="139"/>
      <c r="S22" s="250"/>
      <c r="T22" s="139"/>
      <c r="U22" s="139"/>
      <c r="V22" s="139"/>
      <c r="W22" s="139"/>
      <c r="X22" s="139"/>
      <c r="Y22" s="250"/>
      <c r="Z22" s="139"/>
      <c r="AA22" s="139"/>
      <c r="AB22" s="139"/>
      <c r="AC22" s="139"/>
      <c r="AD22" s="139"/>
      <c r="AE22" s="250"/>
      <c r="AF22" s="139"/>
      <c r="AG22" s="139"/>
      <c r="AH22" s="139"/>
      <c r="AI22" s="139"/>
      <c r="AJ22" s="139"/>
      <c r="AK22" s="139"/>
      <c r="AL22" s="139"/>
      <c r="AM22" s="139"/>
      <c r="AN22" s="139"/>
      <c r="AO22" s="139"/>
      <c r="AP22" s="139"/>
      <c r="AQ22" s="139"/>
      <c r="AR22" s="121"/>
    </row>
    <row r="23" spans="1:50" s="116" customFormat="1" ht="13.5" hidden="1" customHeight="1">
      <c r="A23" s="120"/>
      <c r="C23" s="940"/>
      <c r="D23" s="941"/>
      <c r="E23" s="941"/>
      <c r="F23" s="941"/>
      <c r="G23" s="941"/>
      <c r="H23" s="941"/>
      <c r="I23" s="941"/>
      <c r="J23" s="941"/>
      <c r="K23" s="941"/>
      <c r="L23" s="941"/>
      <c r="M23" s="941"/>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2"/>
      <c r="AQ23" s="251"/>
      <c r="AR23" s="121"/>
    </row>
    <row r="24" spans="1:50" s="116" customFormat="1" ht="13.5" hidden="1" customHeight="1">
      <c r="A24" s="120"/>
      <c r="C24" s="943"/>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5"/>
      <c r="AQ24" s="251"/>
      <c r="AR24" s="121"/>
    </row>
    <row r="25" spans="1:50" s="116" customFormat="1" ht="13.5" hidden="1" customHeight="1">
      <c r="A25" s="120"/>
      <c r="C25" s="943"/>
      <c r="D25" s="944"/>
      <c r="E25" s="944"/>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5"/>
      <c r="AQ25" s="251"/>
      <c r="AR25" s="121"/>
    </row>
    <row r="26" spans="1:50" s="116" customFormat="1" ht="13.5" hidden="1" customHeight="1">
      <c r="A26" s="120"/>
      <c r="C26" s="943"/>
      <c r="D26" s="944"/>
      <c r="E26" s="944"/>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5"/>
      <c r="AQ26" s="251"/>
      <c r="AR26" s="121"/>
    </row>
    <row r="27" spans="1:50" s="116" customFormat="1" ht="13.5" hidden="1" customHeight="1">
      <c r="A27" s="120"/>
      <c r="C27" s="943"/>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5"/>
      <c r="AQ27" s="251"/>
      <c r="AR27" s="121"/>
    </row>
    <row r="28" spans="1:50" s="116" customFormat="1" ht="13.5" hidden="1" customHeight="1">
      <c r="A28" s="120"/>
      <c r="C28" s="943"/>
      <c r="D28" s="944"/>
      <c r="E28" s="944"/>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5"/>
      <c r="AQ28" s="251"/>
      <c r="AR28" s="121"/>
    </row>
    <row r="29" spans="1:50" s="116" customFormat="1" ht="13.5" hidden="1" customHeight="1" thickBot="1">
      <c r="A29" s="120"/>
      <c r="C29" s="946"/>
      <c r="D29" s="947"/>
      <c r="E29" s="947"/>
      <c r="F29" s="947"/>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8"/>
      <c r="AQ29" s="251"/>
      <c r="AR29" s="121"/>
    </row>
    <row r="30" spans="1:50" s="116" customFormat="1" ht="12" hidden="1">
      <c r="A30" s="120"/>
      <c r="C30" s="252"/>
      <c r="D30" s="252"/>
      <c r="E30" s="252"/>
      <c r="F30" s="252"/>
      <c r="G30" s="252"/>
      <c r="H30" s="252"/>
      <c r="I30" s="252"/>
      <c r="J30" s="252"/>
      <c r="K30" s="252"/>
      <c r="L30" s="252"/>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21"/>
    </row>
    <row r="31" spans="1:50" s="116" customFormat="1" ht="18" customHeight="1" thickBot="1">
      <c r="A31" s="120"/>
      <c r="C31" s="116" t="s">
        <v>707</v>
      </c>
      <c r="AP31" s="189" t="s">
        <v>355</v>
      </c>
      <c r="AQ31" s="255"/>
      <c r="AR31" s="121"/>
      <c r="AS31" s="139"/>
    </row>
    <row r="32" spans="1:50" s="116" customFormat="1" ht="24" customHeight="1" thickBot="1">
      <c r="A32" s="120"/>
      <c r="C32" s="903"/>
      <c r="D32" s="904"/>
      <c r="E32" s="904"/>
      <c r="F32" s="904"/>
      <c r="G32" s="904"/>
      <c r="H32" s="904"/>
      <c r="I32" s="904"/>
      <c r="J32" s="904"/>
      <c r="K32" s="904"/>
      <c r="L32" s="905"/>
      <c r="M32" s="906">
        <f>IF(M11="","",M11)</f>
        <v>2025</v>
      </c>
      <c r="N32" s="907"/>
      <c r="O32" s="907"/>
      <c r="P32" s="904" t="s">
        <v>356</v>
      </c>
      <c r="Q32" s="904"/>
      <c r="R32" s="905"/>
      <c r="S32" s="906">
        <f>IF(S11="","",S11)</f>
        <v>2026</v>
      </c>
      <c r="T32" s="907"/>
      <c r="U32" s="907"/>
      <c r="V32" s="904" t="s">
        <v>356</v>
      </c>
      <c r="W32" s="904"/>
      <c r="X32" s="905"/>
      <c r="Y32" s="906">
        <f>IF(Y11="","",Y11)</f>
        <v>2027</v>
      </c>
      <c r="Z32" s="907"/>
      <c r="AA32" s="907"/>
      <c r="AB32" s="904" t="s">
        <v>356</v>
      </c>
      <c r="AC32" s="904"/>
      <c r="AD32" s="905"/>
      <c r="AE32" s="906">
        <f>IF(AE11="","",AE11)</f>
        <v>2028</v>
      </c>
      <c r="AF32" s="907"/>
      <c r="AG32" s="907"/>
      <c r="AH32" s="904" t="s">
        <v>356</v>
      </c>
      <c r="AI32" s="904"/>
      <c r="AJ32" s="905"/>
      <c r="AK32" s="906">
        <f>IF(AK11="","",AK11)</f>
        <v>2029</v>
      </c>
      <c r="AL32" s="907"/>
      <c r="AM32" s="907"/>
      <c r="AN32" s="904" t="s">
        <v>157</v>
      </c>
      <c r="AO32" s="904"/>
      <c r="AP32" s="908"/>
      <c r="AQ32" s="139"/>
      <c r="AR32" s="121"/>
      <c r="AT32" s="139">
        <v>2025</v>
      </c>
      <c r="AU32" s="139">
        <v>2026</v>
      </c>
      <c r="AV32" s="139">
        <v>2027</v>
      </c>
      <c r="AW32" s="139">
        <v>2028</v>
      </c>
      <c r="AX32" s="139">
        <v>2029</v>
      </c>
    </row>
    <row r="33" spans="1:50" s="116" customFormat="1" ht="33.950000000000003" customHeight="1" thickTop="1" thickBot="1">
      <c r="A33" s="120"/>
      <c r="C33" s="918" t="s">
        <v>613</v>
      </c>
      <c r="D33" s="919"/>
      <c r="E33" s="919"/>
      <c r="F33" s="919"/>
      <c r="G33" s="919"/>
      <c r="H33" s="919"/>
      <c r="I33" s="919"/>
      <c r="J33" s="919"/>
      <c r="K33" s="919"/>
      <c r="L33" s="920"/>
      <c r="M33" s="909"/>
      <c r="N33" s="909"/>
      <c r="O33" s="909"/>
      <c r="P33" s="909"/>
      <c r="Q33" s="909"/>
      <c r="R33" s="909"/>
      <c r="S33" s="909"/>
      <c r="T33" s="909"/>
      <c r="U33" s="909"/>
      <c r="V33" s="909"/>
      <c r="W33" s="909"/>
      <c r="X33" s="909"/>
      <c r="Y33" s="909"/>
      <c r="Z33" s="909"/>
      <c r="AA33" s="909"/>
      <c r="AB33" s="909"/>
      <c r="AC33" s="909"/>
      <c r="AD33" s="909"/>
      <c r="AE33" s="909"/>
      <c r="AF33" s="909"/>
      <c r="AG33" s="909"/>
      <c r="AH33" s="909"/>
      <c r="AI33" s="909"/>
      <c r="AJ33" s="909"/>
      <c r="AK33" s="909"/>
      <c r="AL33" s="909"/>
      <c r="AM33" s="909"/>
      <c r="AN33" s="909"/>
      <c r="AO33" s="909"/>
      <c r="AP33" s="911"/>
      <c r="AQ33" s="139"/>
      <c r="AR33" s="121"/>
      <c r="AT33" s="139" t="str">
        <f>IF(その1!$H$4-AT32=1,IF(ISNUMBER(M33),IF(M33=評価シート!$Q$29,"○","×"),""),"")</f>
        <v/>
      </c>
      <c r="AU33" s="139" t="str">
        <f>IF(その1!$H$4-AU32=1,IF(ISNUMBER(S33),IF(S33=評価シート!$Q$29,"○","×"),""),IF(AND(ISNUMBER(S33),AU32&gt;(その1!$H$4-1)),"×",""))</f>
        <v/>
      </c>
      <c r="AV33" s="139" t="str">
        <f>IF(その1!$H$4-AV32=1,IF(ISNUMBER(Y33),IF(Y33=評価シート!$Q$29,"○","×"),""),IF(AND(ISNUMBER(Y33),AV32&gt;(その1!$H$4-1)),"×",""))</f>
        <v/>
      </c>
      <c r="AW33" s="139" t="str">
        <f>IF(その1!$H$4-AW32=1,IF(ISNUMBER(AE33),IF(AE33=評価シート!$Q$29,"○","×"),""),IF(AND(ISNUMBER(AE33),AW32&gt;(その1!$H$4-1)),"×",""))</f>
        <v/>
      </c>
      <c r="AX33" s="139" t="str">
        <f>IF(その1!$H$4-AX32=1,IF(ISNUMBER(AK33),IF(AK33=評価シート!$Q$29,"○","×"),""),IF(AND(ISNUMBER(AK33),AX32&gt;(その1!$H$4-1)),"×",""))</f>
        <v/>
      </c>
    </row>
    <row r="34" spans="1:50" s="116" customFormat="1" ht="12.75" customHeight="1">
      <c r="A34" s="120"/>
      <c r="C34" s="253"/>
      <c r="D34" s="253"/>
      <c r="E34" s="253"/>
      <c r="F34" s="253"/>
      <c r="G34" s="253"/>
      <c r="H34" s="253"/>
      <c r="I34" s="253"/>
      <c r="J34" s="253"/>
      <c r="K34" s="253"/>
      <c r="L34" s="253"/>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c r="AP34" s="189" t="str">
        <f>IF(COUNTIF(AT32:AX33,"×")&gt;0,AT39,"")</f>
        <v/>
      </c>
      <c r="AQ34" s="139"/>
      <c r="AR34" s="121"/>
    </row>
    <row r="35" spans="1:50" s="116" customFormat="1" ht="18" customHeight="1" thickBot="1">
      <c r="A35" s="120"/>
      <c r="C35" s="254" t="s">
        <v>708</v>
      </c>
      <c r="AP35" s="249" t="s">
        <v>756</v>
      </c>
      <c r="AQ35" s="255"/>
      <c r="AR35" s="121"/>
      <c r="AS35" s="139"/>
    </row>
    <row r="36" spans="1:50" s="116" customFormat="1" ht="24" customHeight="1" thickBot="1">
      <c r="A36" s="120"/>
      <c r="C36" s="903"/>
      <c r="D36" s="904"/>
      <c r="E36" s="904"/>
      <c r="F36" s="904"/>
      <c r="G36" s="904"/>
      <c r="H36" s="904"/>
      <c r="I36" s="904"/>
      <c r="J36" s="904"/>
      <c r="K36" s="904"/>
      <c r="L36" s="905"/>
      <c r="M36" s="906">
        <f>IF(M11="","",M11)</f>
        <v>2025</v>
      </c>
      <c r="N36" s="907"/>
      <c r="O36" s="907"/>
      <c r="P36" s="904" t="s">
        <v>356</v>
      </c>
      <c r="Q36" s="904"/>
      <c r="R36" s="905"/>
      <c r="S36" s="906">
        <f>IF(S11="","",S11)</f>
        <v>2026</v>
      </c>
      <c r="T36" s="907"/>
      <c r="U36" s="907"/>
      <c r="V36" s="904" t="s">
        <v>356</v>
      </c>
      <c r="W36" s="904"/>
      <c r="X36" s="905"/>
      <c r="Y36" s="906">
        <f>IF(Y11="","",Y11)</f>
        <v>2027</v>
      </c>
      <c r="Z36" s="907"/>
      <c r="AA36" s="907"/>
      <c r="AB36" s="904" t="s">
        <v>356</v>
      </c>
      <c r="AC36" s="904"/>
      <c r="AD36" s="905"/>
      <c r="AE36" s="906">
        <f>IF(AE11="","",AE11)</f>
        <v>2028</v>
      </c>
      <c r="AF36" s="907"/>
      <c r="AG36" s="907"/>
      <c r="AH36" s="904" t="s">
        <v>356</v>
      </c>
      <c r="AI36" s="904"/>
      <c r="AJ36" s="905"/>
      <c r="AK36" s="906">
        <f>IF(AK11="","",AK11)</f>
        <v>2029</v>
      </c>
      <c r="AL36" s="907"/>
      <c r="AM36" s="907"/>
      <c r="AN36" s="904" t="s">
        <v>157</v>
      </c>
      <c r="AO36" s="904"/>
      <c r="AP36" s="908"/>
      <c r="AQ36" s="139"/>
      <c r="AR36" s="121"/>
      <c r="AT36" s="139">
        <v>2025</v>
      </c>
      <c r="AU36" s="139">
        <v>2026</v>
      </c>
      <c r="AV36" s="139">
        <v>2027</v>
      </c>
      <c r="AW36" s="139">
        <v>2028</v>
      </c>
      <c r="AX36" s="139">
        <v>2029</v>
      </c>
    </row>
    <row r="37" spans="1:50" s="116" customFormat="1" ht="33.950000000000003" customHeight="1" thickTop="1" thickBot="1">
      <c r="A37" s="120"/>
      <c r="C37" s="900" t="s">
        <v>757</v>
      </c>
      <c r="D37" s="901"/>
      <c r="E37" s="901"/>
      <c r="F37" s="901"/>
      <c r="G37" s="901"/>
      <c r="H37" s="901"/>
      <c r="I37" s="901"/>
      <c r="J37" s="901"/>
      <c r="K37" s="901"/>
      <c r="L37" s="902"/>
      <c r="M37" s="898"/>
      <c r="N37" s="898"/>
      <c r="O37" s="898"/>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8"/>
      <c r="AO37" s="898"/>
      <c r="AP37" s="899"/>
      <c r="AQ37" s="139"/>
      <c r="AR37" s="121"/>
      <c r="AT37" s="139" t="str">
        <f>IF(その1!$H$4-AT36=1,IF(ISNUMBER(M37),IF(M37='その5（非公表）'!$I$64,"○","×"),""),"")</f>
        <v/>
      </c>
      <c r="AU37" s="139" t="str">
        <f>IF(その1!$H$4-AU36=1,IF(ISNUMBER(S37),IF(S37='その5（非公表）'!$I$64,"○","×"),""),IF(AND(ISNUMBER(S37),AU36&gt;(その1!$H$4-1)),"×",""))</f>
        <v/>
      </c>
      <c r="AV37" s="139" t="str">
        <f>IF(その1!$H$4-AV36=1,IF(ISNUMBER(Y37),IF(Y37='その5（非公表）'!$I$64,"○","×"),""),IF(AND(ISNUMBER(Y37),AV36&gt;(その1!$H$4-1)),"×",""))</f>
        <v/>
      </c>
      <c r="AW37" s="139" t="str">
        <f>IF(その1!$H$4-AW36=1,IF(ISNUMBER(AE37),IF(AE37='その5（非公表）'!$I$64,"○","×"),""),IF(AND(ISNUMBER(AE37),AW36&gt;(その1!$H$4-1)),"×",""))</f>
        <v/>
      </c>
      <c r="AX37" s="139" t="str">
        <f>IF(その1!$H$4-AX36=1,IF(ISNUMBER(AK37),IF(AK37='その5（非公表）'!$I$64,"○","×"),""),IF(AND(ISNUMBER(AK37),AX36&gt;(その1!$H$4-1)),"×",""))</f>
        <v/>
      </c>
    </row>
    <row r="38" spans="1:50" s="116" customFormat="1" ht="12.95" customHeight="1">
      <c r="A38" s="120"/>
      <c r="C38" s="252"/>
      <c r="D38" s="252"/>
      <c r="E38" s="252"/>
      <c r="F38" s="252"/>
      <c r="G38" s="252"/>
      <c r="H38" s="252"/>
      <c r="I38" s="252"/>
      <c r="J38" s="252"/>
      <c r="K38" s="252"/>
      <c r="L38" s="252"/>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256"/>
      <c r="AO38" s="139"/>
      <c r="AP38" s="611" t="str">
        <f>IF(COUNTIF(AT36:AX37,"×")&gt;0,AT39,"")</f>
        <v/>
      </c>
      <c r="AQ38" s="139"/>
      <c r="AR38" s="121"/>
    </row>
    <row r="39" spans="1:50" s="116" customFormat="1" ht="12.75" thickBot="1">
      <c r="A39" s="120"/>
      <c r="C39" s="116" t="s">
        <v>53</v>
      </c>
      <c r="D39" s="155"/>
      <c r="E39" s="155"/>
      <c r="F39" s="155"/>
      <c r="G39" s="155"/>
      <c r="H39" s="155"/>
      <c r="I39" s="155"/>
      <c r="J39" s="155"/>
      <c r="M39" s="250"/>
      <c r="N39" s="139"/>
      <c r="O39" s="139"/>
      <c r="P39" s="139"/>
      <c r="Q39" s="139"/>
      <c r="R39" s="139"/>
      <c r="S39" s="250"/>
      <c r="T39" s="139"/>
      <c r="U39" s="139"/>
      <c r="V39" s="139"/>
      <c r="W39" s="139"/>
      <c r="X39" s="139"/>
      <c r="Y39" s="250"/>
      <c r="Z39" s="139"/>
      <c r="AA39" s="139"/>
      <c r="AB39" s="139"/>
      <c r="AC39" s="139"/>
      <c r="AD39" s="139"/>
      <c r="AE39" s="250"/>
      <c r="AF39" s="139"/>
      <c r="AG39" s="139"/>
      <c r="AH39" s="139"/>
      <c r="AI39" s="139"/>
      <c r="AJ39" s="139"/>
      <c r="AK39" s="139"/>
      <c r="AL39" s="139"/>
      <c r="AM39" s="139"/>
      <c r="AN39" s="139"/>
      <c r="AO39" s="139"/>
      <c r="AP39" s="139"/>
      <c r="AQ39" s="139"/>
      <c r="AR39" s="121"/>
      <c r="AT39" s="116" t="s">
        <v>760</v>
      </c>
    </row>
    <row r="40" spans="1:50" s="116" customFormat="1" ht="13.5" customHeight="1">
      <c r="A40" s="120"/>
      <c r="C40" s="771"/>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3"/>
      <c r="AQ40" s="251"/>
      <c r="AR40" s="121"/>
    </row>
    <row r="41" spans="1:50" s="116" customFormat="1" ht="13.5" customHeight="1">
      <c r="A41" s="120"/>
      <c r="C41" s="774"/>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6"/>
      <c r="AQ41" s="251"/>
      <c r="AR41" s="121"/>
    </row>
    <row r="42" spans="1:50" s="116" customFormat="1" ht="13.5" customHeight="1">
      <c r="A42" s="120"/>
      <c r="C42" s="774"/>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6"/>
      <c r="AQ42" s="251"/>
      <c r="AR42" s="121"/>
    </row>
    <row r="43" spans="1:50" s="116" customFormat="1" ht="13.5" customHeight="1">
      <c r="A43" s="120"/>
      <c r="C43" s="774"/>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6"/>
      <c r="AQ43" s="251"/>
      <c r="AR43" s="121"/>
    </row>
    <row r="44" spans="1:50" s="116" customFormat="1" ht="13.5" hidden="1" customHeight="1">
      <c r="A44" s="120"/>
      <c r="C44" s="774"/>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6"/>
      <c r="AQ44" s="251"/>
      <c r="AR44" s="121"/>
    </row>
    <row r="45" spans="1:50" s="116" customFormat="1" ht="13.5" hidden="1" customHeight="1">
      <c r="A45" s="120"/>
      <c r="C45" s="774"/>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6"/>
      <c r="AQ45" s="251"/>
      <c r="AR45" s="121"/>
    </row>
    <row r="46" spans="1:50" s="116" customFormat="1" ht="13.5" customHeight="1" thickBot="1">
      <c r="A46" s="120"/>
      <c r="C46" s="777"/>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9"/>
      <c r="AQ46" s="251"/>
      <c r="AR46" s="121"/>
    </row>
    <row r="47" spans="1:50" s="116" customFormat="1" ht="13.5" customHeight="1">
      <c r="A47" s="120"/>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251"/>
      <c r="AR47" s="121"/>
    </row>
    <row r="48" spans="1:50" s="116" customFormat="1" ht="12">
      <c r="A48" s="120"/>
      <c r="C48" s="252"/>
      <c r="D48" s="252"/>
      <c r="E48" s="252"/>
      <c r="F48" s="252"/>
      <c r="G48" s="252"/>
      <c r="H48" s="252"/>
      <c r="I48" s="252"/>
      <c r="J48" s="252"/>
      <c r="K48" s="252"/>
      <c r="L48" s="252"/>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21"/>
    </row>
    <row r="49" spans="1:50" s="116" customFormat="1" ht="16.5" customHeight="1">
      <c r="A49" s="120"/>
      <c r="C49" s="254" t="s">
        <v>709</v>
      </c>
      <c r="AQ49" s="139"/>
      <c r="AR49" s="121"/>
    </row>
    <row r="50" spans="1:50" s="116" customFormat="1" ht="12.75" thickBot="1">
      <c r="A50" s="120"/>
      <c r="C50" s="164" t="s">
        <v>517</v>
      </c>
      <c r="AQ50" s="139"/>
      <c r="AR50" s="121"/>
    </row>
    <row r="51" spans="1:50" s="116" customFormat="1" ht="90" customHeight="1" thickBot="1">
      <c r="A51" s="120"/>
      <c r="C51" s="714"/>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5"/>
      <c r="AE51" s="715"/>
      <c r="AF51" s="715"/>
      <c r="AG51" s="715"/>
      <c r="AH51" s="715"/>
      <c r="AI51" s="715"/>
      <c r="AJ51" s="715"/>
      <c r="AK51" s="715"/>
      <c r="AL51" s="715"/>
      <c r="AM51" s="715"/>
      <c r="AN51" s="715"/>
      <c r="AO51" s="715"/>
      <c r="AP51" s="716"/>
      <c r="AQ51" s="139"/>
      <c r="AR51" s="121"/>
    </row>
    <row r="52" spans="1:50" s="116" customFormat="1" ht="12">
      <c r="A52" s="120"/>
      <c r="C52" s="164"/>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139"/>
      <c r="AR52" s="121"/>
    </row>
    <row r="53" spans="1:50" s="116" customFormat="1" ht="12.75" thickBot="1">
      <c r="A53" s="120"/>
      <c r="C53" s="164" t="s">
        <v>518</v>
      </c>
      <c r="D53" s="252"/>
      <c r="E53" s="252"/>
      <c r="F53" s="252"/>
      <c r="G53" s="252"/>
      <c r="H53" s="252"/>
      <c r="I53" s="252"/>
      <c r="J53" s="252"/>
      <c r="K53" s="252"/>
      <c r="L53" s="252"/>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21"/>
    </row>
    <row r="54" spans="1:50" s="116" customFormat="1" ht="90" customHeight="1" thickBot="1">
      <c r="A54" s="120"/>
      <c r="C54" s="714"/>
      <c r="D54" s="715"/>
      <c r="E54" s="715"/>
      <c r="F54" s="715"/>
      <c r="G54" s="715"/>
      <c r="H54" s="715"/>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715"/>
      <c r="AJ54" s="715"/>
      <c r="AK54" s="715"/>
      <c r="AL54" s="715"/>
      <c r="AM54" s="715"/>
      <c r="AN54" s="715"/>
      <c r="AO54" s="715"/>
      <c r="AP54" s="716"/>
      <c r="AQ54" s="139"/>
      <c r="AR54" s="121"/>
    </row>
    <row r="55" spans="1:50" s="116" customFormat="1" ht="12">
      <c r="A55" s="120"/>
      <c r="C55" s="252"/>
      <c r="D55" s="252"/>
      <c r="E55" s="252"/>
      <c r="F55" s="252"/>
      <c r="G55" s="252"/>
      <c r="H55" s="252"/>
      <c r="I55" s="252"/>
      <c r="J55" s="252"/>
      <c r="K55" s="252"/>
      <c r="L55" s="252"/>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21"/>
    </row>
    <row r="56" spans="1:50" s="264" customFormat="1" ht="3" customHeight="1">
      <c r="A56" s="257"/>
      <c r="B56" s="258"/>
      <c r="C56" s="258"/>
      <c r="D56" s="258"/>
      <c r="E56" s="258"/>
      <c r="F56" s="258"/>
      <c r="G56" s="258"/>
      <c r="H56" s="259"/>
      <c r="I56" s="259"/>
      <c r="J56" s="259"/>
      <c r="K56" s="260"/>
      <c r="L56" s="260"/>
      <c r="M56" s="260"/>
      <c r="N56" s="261"/>
      <c r="O56" s="262"/>
      <c r="P56" s="262"/>
      <c r="Q56" s="262"/>
      <c r="R56" s="262"/>
      <c r="S56" s="260"/>
      <c r="T56" s="261"/>
      <c r="U56" s="262"/>
      <c r="V56" s="262"/>
      <c r="W56" s="262"/>
      <c r="X56" s="262"/>
      <c r="Y56" s="260"/>
      <c r="Z56" s="261"/>
      <c r="AA56" s="262"/>
      <c r="AB56" s="262"/>
      <c r="AC56" s="262"/>
      <c r="AD56" s="262"/>
      <c r="AE56" s="260"/>
      <c r="AF56" s="261"/>
      <c r="AG56" s="262"/>
      <c r="AH56" s="262"/>
      <c r="AI56" s="262"/>
      <c r="AJ56" s="262"/>
      <c r="AK56" s="262"/>
      <c r="AL56" s="262"/>
      <c r="AM56" s="262"/>
      <c r="AN56" s="262"/>
      <c r="AO56" s="262"/>
      <c r="AP56" s="262"/>
      <c r="AQ56" s="262"/>
      <c r="AR56" s="263"/>
      <c r="AX56" s="1"/>
    </row>
    <row r="57" spans="1:50" s="264" customFormat="1" ht="13.5" customHeight="1">
      <c r="H57" s="265"/>
      <c r="I57" s="265"/>
      <c r="J57" s="265"/>
      <c r="K57" s="266"/>
      <c r="L57" s="266"/>
      <c r="M57" s="266"/>
      <c r="N57" s="267"/>
      <c r="O57" s="268"/>
      <c r="P57" s="268"/>
      <c r="Q57" s="268"/>
      <c r="R57" s="268"/>
      <c r="S57" s="266"/>
      <c r="T57" s="267"/>
      <c r="U57" s="268"/>
      <c r="V57" s="268"/>
      <c r="W57" s="268"/>
      <c r="X57" s="268"/>
      <c r="Y57" s="266"/>
      <c r="Z57" s="267"/>
      <c r="AA57" s="268"/>
      <c r="AB57" s="268"/>
      <c r="AC57" s="268"/>
      <c r="AD57" s="268"/>
      <c r="AE57" s="266"/>
      <c r="AF57" s="267"/>
      <c r="AG57" s="268"/>
      <c r="AH57" s="268"/>
      <c r="AI57" s="268"/>
      <c r="AJ57" s="268"/>
      <c r="AK57" s="268"/>
      <c r="AL57" s="268"/>
      <c r="AM57" s="268"/>
      <c r="AN57" s="268"/>
      <c r="AO57" s="268"/>
      <c r="AP57" s="268"/>
      <c r="AQ57" s="268"/>
      <c r="AR57" s="162" t="s">
        <v>479</v>
      </c>
      <c r="AX57" s="1"/>
    </row>
    <row r="58" spans="1:50" s="264" customFormat="1" ht="13.5" customHeight="1">
      <c r="H58" s="265"/>
      <c r="I58" s="265"/>
      <c r="J58" s="265"/>
      <c r="K58" s="266"/>
      <c r="L58" s="266"/>
      <c r="M58" s="266"/>
      <c r="N58" s="267"/>
      <c r="O58" s="268"/>
      <c r="P58" s="268"/>
      <c r="Q58" s="268"/>
      <c r="R58" s="268"/>
      <c r="S58" s="266"/>
      <c r="T58" s="267"/>
      <c r="U58" s="268"/>
      <c r="V58" s="268"/>
      <c r="W58" s="268"/>
      <c r="X58" s="268"/>
      <c r="Y58" s="266"/>
      <c r="Z58" s="267"/>
      <c r="AA58" s="268"/>
      <c r="AB58" s="268"/>
      <c r="AC58" s="268"/>
      <c r="AD58" s="268"/>
      <c r="AE58" s="266"/>
      <c r="AF58" s="267"/>
      <c r="AG58" s="268"/>
      <c r="AH58" s="268"/>
      <c r="AI58" s="268"/>
      <c r="AJ58" s="268"/>
      <c r="AK58" s="268"/>
      <c r="AL58" s="268"/>
      <c r="AM58" s="268"/>
      <c r="AN58" s="268"/>
      <c r="AO58" s="268"/>
      <c r="AP58" s="268"/>
      <c r="AQ58" s="268"/>
      <c r="AX58" s="2"/>
    </row>
    <row r="59" spans="1:50" s="264" customFormat="1" ht="9" customHeight="1">
      <c r="H59" s="268"/>
      <c r="I59" s="268"/>
      <c r="J59" s="268"/>
      <c r="K59" s="266"/>
      <c r="L59" s="266"/>
      <c r="M59" s="266"/>
      <c r="N59" s="267"/>
      <c r="O59" s="268"/>
      <c r="P59" s="268"/>
      <c r="Q59" s="268"/>
      <c r="R59" s="268"/>
      <c r="S59" s="266"/>
      <c r="T59" s="267"/>
      <c r="U59" s="268"/>
      <c r="V59" s="268"/>
      <c r="W59" s="268"/>
      <c r="X59" s="268"/>
      <c r="Y59" s="266"/>
      <c r="Z59" s="267"/>
      <c r="AA59" s="268"/>
      <c r="AB59" s="268"/>
      <c r="AC59" s="268"/>
      <c r="AD59" s="268"/>
      <c r="AE59" s="266"/>
      <c r="AF59" s="267"/>
      <c r="AG59" s="268"/>
      <c r="AH59" s="268"/>
      <c r="AI59" s="268"/>
      <c r="AJ59" s="268"/>
      <c r="AK59" s="268"/>
      <c r="AL59" s="268"/>
      <c r="AM59" s="268"/>
      <c r="AN59" s="268"/>
      <c r="AO59" s="268"/>
      <c r="AP59" s="268"/>
      <c r="AQ59" s="268"/>
      <c r="AX59" s="2"/>
    </row>
    <row r="60" spans="1:50">
      <c r="AR60" s="189"/>
      <c r="AS60" s="189"/>
      <c r="AT60" s="116"/>
    </row>
    <row r="61" spans="1:50">
      <c r="AT61" s="116"/>
    </row>
    <row r="62" spans="1:50">
      <c r="AT62" s="116"/>
    </row>
  </sheetData>
  <sheetProtection algorithmName="SHA-512" hashValue="XwLACGBrgGQ7Q1s7jdHj5835V6Ygq3MOpEH6fL2qtg9fAkZpUpHA5ODyI+uGgQJz0l7pBgS6m61toWESqT62JA==" saltValue="tbksJlElCNJTgt+/9ZAs3A==" spinCount="100000" sheet="1" objects="1" scenarios="1" formatRows="0" selectLockedCells="1"/>
  <mergeCells count="113">
    <mergeCell ref="C6:L7"/>
    <mergeCell ref="M6:V7"/>
    <mergeCell ref="W6:AF7"/>
    <mergeCell ref="C8:H8"/>
    <mergeCell ref="I8:L8"/>
    <mergeCell ref="M8:R8"/>
    <mergeCell ref="S8:V8"/>
    <mergeCell ref="W8:AB8"/>
    <mergeCell ref="AC8:AF8"/>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s>
  <phoneticPr fontId="2"/>
  <conditionalFormatting sqref="C8:H8">
    <cfRule type="expression" dxfId="47" priority="3">
      <formula>AND($AW$8="評価対象",$C$8&lt;&gt;$AT$8)</formula>
    </cfRule>
  </conditionalFormatting>
  <conditionalFormatting sqref="M12">
    <cfRule type="expression" dxfId="46" priority="21">
      <formula>$AT$12="×"</formula>
    </cfRule>
  </conditionalFormatting>
  <conditionalFormatting sqref="M33">
    <cfRule type="expression" dxfId="45" priority="16">
      <formula>$AT$33="×"</formula>
    </cfRule>
  </conditionalFormatting>
  <conditionalFormatting sqref="M8:R8">
    <cfRule type="expression" dxfId="44" priority="2">
      <formula>AND($AW$8="評価対象",$M$8&lt;&gt;$AU$8)</formula>
    </cfRule>
  </conditionalFormatting>
  <conditionalFormatting sqref="M37:R37">
    <cfRule type="expression" dxfId="43" priority="10">
      <formula>$AT$37="×"</formula>
    </cfRule>
  </conditionalFormatting>
  <conditionalFormatting sqref="S12">
    <cfRule type="expression" dxfId="42" priority="20">
      <formula>$AU$12="×"</formula>
    </cfRule>
  </conditionalFormatting>
  <conditionalFormatting sqref="S33">
    <cfRule type="expression" dxfId="41" priority="15">
      <formula>$AU$33="×"</formula>
    </cfRule>
  </conditionalFormatting>
  <conditionalFormatting sqref="S37:X37">
    <cfRule type="expression" dxfId="40" priority="9">
      <formula>$AU$37="×"</formula>
    </cfRule>
  </conditionalFormatting>
  <conditionalFormatting sqref="W8:AB8">
    <cfRule type="expression" dxfId="39" priority="1">
      <formula>AND($AW$8="評価対象",$W$8&lt;&gt;$AV$8)</formula>
    </cfRule>
  </conditionalFormatting>
  <conditionalFormatting sqref="Y12">
    <cfRule type="expression" dxfId="38" priority="19">
      <formula>$AV$12="×"</formula>
    </cfRule>
  </conditionalFormatting>
  <conditionalFormatting sqref="Y33">
    <cfRule type="expression" dxfId="37" priority="14">
      <formula>$AV$33="×"</formula>
    </cfRule>
  </conditionalFormatting>
  <conditionalFormatting sqref="Y37:AD37">
    <cfRule type="expression" dxfId="36" priority="8">
      <formula>$AV$37="×"</formula>
    </cfRule>
  </conditionalFormatting>
  <conditionalFormatting sqref="AE12">
    <cfRule type="expression" dxfId="35" priority="18">
      <formula>$AW$12="×"</formula>
    </cfRule>
  </conditionalFormatting>
  <conditionalFormatting sqref="AE33">
    <cfRule type="expression" dxfId="34" priority="13">
      <formula>$AW$33="×"</formula>
    </cfRule>
  </conditionalFormatting>
  <conditionalFormatting sqref="AE37:AJ37">
    <cfRule type="expression" dxfId="33" priority="7">
      <formula>$AW$37="×"</formula>
    </cfRule>
  </conditionalFormatting>
  <conditionalFormatting sqref="AK12">
    <cfRule type="expression" dxfId="32" priority="17">
      <formula>$AX$12="×"</formula>
    </cfRule>
  </conditionalFormatting>
  <conditionalFormatting sqref="AK33">
    <cfRule type="expression" dxfId="31" priority="12">
      <formula>$AX$33="×"</formula>
    </cfRule>
  </conditionalFormatting>
  <conditionalFormatting sqref="AK37:AP37">
    <cfRule type="expression" dxfId="30" priority="6">
      <formula>$AX$37="×"</formula>
    </cfRule>
  </conditionalFormatting>
  <conditionalFormatting sqref="AP21">
    <cfRule type="expression" dxfId="29" priority="4">
      <formula>COUNTIF($AT$11:$AX$33,"×")&gt;0</formula>
    </cfRule>
  </conditionalFormatting>
  <conditionalFormatting sqref="AP34">
    <cfRule type="expression" dxfId="28" priority="11">
      <formula>COUNTIF($AT$11:$AX$33,"×")&gt;0</formula>
    </cfRule>
  </conditionalFormatting>
  <conditionalFormatting sqref="AP38">
    <cfRule type="expression" dxfId="27" priority="5">
      <formula>COUNTIF($AT$11:$AX$33,"×")&gt;0</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6 C51 D52:AP52 C54" xr:uid="{00000000-0002-0000-0400-000001000000}"/>
    <dataValidation type="whole" allowBlank="1" showErrorMessage="1" error="整数を入力してください" sqref="M12:AP12" xr:uid="{00000000-0002-0000-0400-000002000000}">
      <formula1>0</formula1>
      <formula2>9999999</formula2>
    </dataValidation>
    <dataValidation type="decimal" allowBlank="1" showInputMessage="1" showErrorMessage="1" error="数値を入力してください" sqref="M33:AP33" xr:uid="{00000000-0002-0000-0400-000003000000}">
      <formula1>0</formula1>
      <formula2>9999999</formula2>
    </dataValidation>
    <dataValidation type="whole" allowBlank="1" showInputMessage="1" showErrorMessage="1" error="整数を入力してください" sqref="M37:AP37" xr:uid="{00000000-0002-0000-0400-000004000000}">
      <formula1>0</formula1>
      <formula2>99999999</formula2>
    </dataValidation>
  </dataValidations>
  <pageMargins left="0.75" right="0.75" top="1" bottom="1" header="0.51200000000000001" footer="0.51200000000000001"/>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71"/>
  <sheetViews>
    <sheetView showGridLines="0" view="pageBreakPreview" zoomScaleSheetLayoutView="100" workbookViewId="0">
      <selection activeCell="K8" sqref="K8"/>
    </sheetView>
  </sheetViews>
  <sheetFormatPr defaultColWidth="9" defaultRowHeight="13.5"/>
  <cols>
    <col min="1" max="1" width="0.5" style="241" customWidth="1"/>
    <col min="2" max="2" width="0.875" style="241" customWidth="1"/>
    <col min="3" max="3" width="1.5" style="241" customWidth="1"/>
    <col min="4" max="4" width="2.5" style="241" customWidth="1"/>
    <col min="5" max="5" width="2.375" style="241" customWidth="1"/>
    <col min="6" max="6" width="17.5" style="241" customWidth="1"/>
    <col min="7" max="8" width="2.375" style="241" customWidth="1"/>
    <col min="9" max="9" width="23.625" style="241" customWidth="1"/>
    <col min="10" max="10" width="2.375" style="241" customWidth="1"/>
    <col min="11" max="11" width="5" style="241" bestFit="1" customWidth="1"/>
    <col min="12" max="12" width="6.5" style="241" bestFit="1" customWidth="1"/>
    <col min="13" max="14" width="9.625" style="241" customWidth="1"/>
    <col min="15" max="15" width="12.125" style="241" bestFit="1" customWidth="1"/>
    <col min="16" max="16" width="9.625" style="274" customWidth="1"/>
    <col min="17" max="17" width="0.875" style="274" customWidth="1"/>
    <col min="18" max="18" width="0.5" style="274" customWidth="1"/>
    <col min="19" max="19" width="9" style="241"/>
    <col min="20" max="20" width="45.25" style="241" hidden="1" customWidth="1"/>
    <col min="21" max="22" width="9" style="241" hidden="1" customWidth="1"/>
    <col min="23" max="23" width="9" style="241" customWidth="1"/>
    <col min="24" max="16384" width="9" style="241"/>
  </cols>
  <sheetData>
    <row r="1" spans="1:24" ht="10.5" customHeight="1">
      <c r="A1" s="147" t="s">
        <v>715</v>
      </c>
      <c r="B1" s="147"/>
      <c r="C1" s="269"/>
      <c r="D1" s="270"/>
      <c r="E1" s="270"/>
      <c r="F1" s="270"/>
      <c r="G1" s="270"/>
      <c r="H1" s="270"/>
      <c r="I1" s="270"/>
      <c r="J1" s="270"/>
      <c r="K1" s="270"/>
      <c r="L1" s="270"/>
      <c r="M1" s="270"/>
      <c r="N1" s="270"/>
      <c r="O1" s="270"/>
      <c r="P1" s="271"/>
      <c r="Q1" s="271"/>
      <c r="R1" s="271"/>
    </row>
    <row r="2" spans="1:24" ht="3" customHeight="1">
      <c r="A2" s="117"/>
      <c r="B2" s="118"/>
      <c r="C2" s="243"/>
      <c r="D2" s="244"/>
      <c r="E2" s="244"/>
      <c r="F2" s="244"/>
      <c r="G2" s="244"/>
      <c r="H2" s="244"/>
      <c r="I2" s="244"/>
      <c r="J2" s="244"/>
      <c r="K2" s="244"/>
      <c r="L2" s="244"/>
      <c r="M2" s="244"/>
      <c r="N2" s="244"/>
      <c r="O2" s="244"/>
      <c r="P2" s="272"/>
      <c r="Q2" s="272"/>
      <c r="R2" s="273"/>
    </row>
    <row r="3" spans="1:24" ht="10.5" customHeight="1">
      <c r="A3" s="120"/>
      <c r="B3" s="116"/>
      <c r="C3" s="240"/>
      <c r="R3" s="275"/>
    </row>
    <row r="4" spans="1:24">
      <c r="A4" s="246"/>
      <c r="B4" s="240"/>
      <c r="C4" s="116" t="s">
        <v>716</v>
      </c>
      <c r="R4" s="275"/>
    </row>
    <row r="5" spans="1:24" ht="14.25" thickBot="1">
      <c r="A5" s="276"/>
      <c r="C5" s="264" t="s">
        <v>46</v>
      </c>
      <c r="D5" s="264"/>
      <c r="E5" s="264"/>
      <c r="I5" s="264"/>
      <c r="J5" s="264"/>
      <c r="L5" s="264"/>
      <c r="M5" s="264"/>
      <c r="R5" s="275"/>
    </row>
    <row r="6" spans="1:24" ht="13.5" customHeight="1">
      <c r="A6" s="276"/>
      <c r="C6" s="277"/>
      <c r="D6" s="971" t="s">
        <v>490</v>
      </c>
      <c r="E6" s="971"/>
      <c r="F6" s="971"/>
      <c r="G6" s="971"/>
      <c r="H6" s="971"/>
      <c r="I6" s="971"/>
      <c r="J6" s="278"/>
      <c r="K6" s="973" t="s">
        <v>103</v>
      </c>
      <c r="L6" s="975" t="s">
        <v>111</v>
      </c>
      <c r="M6" s="975"/>
      <c r="N6" s="976" t="s">
        <v>112</v>
      </c>
      <c r="O6" s="978" t="s">
        <v>113</v>
      </c>
      <c r="P6" s="979"/>
      <c r="Q6" s="279"/>
      <c r="R6" s="280"/>
      <c r="S6" s="281"/>
      <c r="T6" s="282" t="s">
        <v>582</v>
      </c>
      <c r="U6" s="281"/>
      <c r="V6" s="281"/>
    </row>
    <row r="7" spans="1:24" ht="22.5">
      <c r="A7" s="276"/>
      <c r="C7" s="283"/>
      <c r="D7" s="972"/>
      <c r="E7" s="972"/>
      <c r="F7" s="972"/>
      <c r="G7" s="972"/>
      <c r="H7" s="972"/>
      <c r="I7" s="972"/>
      <c r="J7" s="263"/>
      <c r="K7" s="974"/>
      <c r="L7" s="284" t="s">
        <v>114</v>
      </c>
      <c r="M7" s="285" t="s">
        <v>314</v>
      </c>
      <c r="N7" s="977"/>
      <c r="O7" s="286" t="s">
        <v>115</v>
      </c>
      <c r="P7" s="287" t="s">
        <v>116</v>
      </c>
      <c r="Q7" s="288"/>
      <c r="R7" s="289"/>
      <c r="S7" s="281"/>
      <c r="T7" s="281" t="s">
        <v>583</v>
      </c>
      <c r="U7" s="290" t="s">
        <v>551</v>
      </c>
      <c r="V7" s="290" t="s">
        <v>552</v>
      </c>
      <c r="X7"/>
    </row>
    <row r="8" spans="1:24" ht="18" customHeight="1">
      <c r="A8" s="276"/>
      <c r="C8" s="999" t="s">
        <v>117</v>
      </c>
      <c r="D8" s="1000"/>
      <c r="E8" s="291"/>
      <c r="F8" s="970" t="s">
        <v>118</v>
      </c>
      <c r="G8" s="970"/>
      <c r="H8" s="970"/>
      <c r="I8" s="970"/>
      <c r="J8" s="292"/>
      <c r="K8" s="52"/>
      <c r="L8" s="293" t="s">
        <v>119</v>
      </c>
      <c r="M8" s="53"/>
      <c r="N8" s="294" t="str">
        <f>IF(M8="","",M8*38.3)</f>
        <v/>
      </c>
      <c r="O8" s="295" t="str">
        <f>IF(M8="","",0.019)</f>
        <v/>
      </c>
      <c r="P8" s="66" t="str">
        <f>IF(M8="","",N8*O8*44/12)</f>
        <v/>
      </c>
      <c r="Q8" s="296"/>
      <c r="R8" s="297"/>
      <c r="T8" s="241" t="s">
        <v>556</v>
      </c>
      <c r="U8" s="298">
        <v>38.299999999999997</v>
      </c>
      <c r="V8" s="298">
        <v>1.9E-2</v>
      </c>
      <c r="X8"/>
    </row>
    <row r="9" spans="1:24" ht="18" customHeight="1">
      <c r="A9" s="276"/>
      <c r="C9" s="1001"/>
      <c r="D9" s="1002"/>
      <c r="E9" s="291"/>
      <c r="F9" s="970" t="s">
        <v>120</v>
      </c>
      <c r="G9" s="970"/>
      <c r="H9" s="970"/>
      <c r="I9" s="970"/>
      <c r="J9" s="299"/>
      <c r="K9" s="52"/>
      <c r="L9" s="293" t="s">
        <v>119</v>
      </c>
      <c r="M9" s="53"/>
      <c r="N9" s="294" t="str">
        <f>IF(M9="","",M9*34.8)</f>
        <v/>
      </c>
      <c r="O9" s="295" t="str">
        <f>IF(M9="","",0.0183)</f>
        <v/>
      </c>
      <c r="P9" s="66" t="str">
        <f t="shared" ref="P9:P32" si="0">IF(M9="","",N9*O9*44/12)</f>
        <v/>
      </c>
      <c r="Q9" s="296"/>
      <c r="R9" s="297"/>
      <c r="T9" s="241" t="s">
        <v>615</v>
      </c>
      <c r="U9" s="298">
        <v>34.799999999999997</v>
      </c>
      <c r="V9" s="298">
        <v>1.83E-2</v>
      </c>
      <c r="X9"/>
    </row>
    <row r="10" spans="1:24" ht="18" customHeight="1">
      <c r="A10" s="276"/>
      <c r="C10" s="1001"/>
      <c r="D10" s="1002"/>
      <c r="E10" s="291"/>
      <c r="F10" s="970" t="s">
        <v>121</v>
      </c>
      <c r="G10" s="970"/>
      <c r="H10" s="970"/>
      <c r="I10" s="970"/>
      <c r="J10" s="292"/>
      <c r="K10" s="52"/>
      <c r="L10" s="293" t="s">
        <v>119</v>
      </c>
      <c r="M10" s="53"/>
      <c r="N10" s="294" t="str">
        <f>IF(M10="","",M10*33.4)</f>
        <v/>
      </c>
      <c r="O10" s="295" t="str">
        <f>IF(M10="","",0.0187)</f>
        <v/>
      </c>
      <c r="P10" s="66" t="str">
        <f t="shared" si="0"/>
        <v/>
      </c>
      <c r="Q10" s="296"/>
      <c r="R10" s="297"/>
      <c r="T10" s="241" t="s">
        <v>616</v>
      </c>
      <c r="U10" s="298">
        <v>33.4</v>
      </c>
      <c r="V10" s="298">
        <v>1.8700000000000001E-2</v>
      </c>
      <c r="X10"/>
    </row>
    <row r="11" spans="1:24" ht="18" customHeight="1">
      <c r="A11" s="276"/>
      <c r="C11" s="1001"/>
      <c r="D11" s="1002"/>
      <c r="E11" s="291"/>
      <c r="F11" s="970" t="s">
        <v>122</v>
      </c>
      <c r="G11" s="970"/>
      <c r="H11" s="970"/>
      <c r="I11" s="970"/>
      <c r="J11" s="292"/>
      <c r="K11" s="52"/>
      <c r="L11" s="293" t="s">
        <v>119</v>
      </c>
      <c r="M11" s="53"/>
      <c r="N11" s="294" t="str">
        <f>IF(M11="","",M11*33.3)</f>
        <v/>
      </c>
      <c r="O11" s="295" t="str">
        <f>IF(M11="","",0.0186)</f>
        <v/>
      </c>
      <c r="P11" s="66" t="str">
        <f t="shared" si="0"/>
        <v/>
      </c>
      <c r="Q11" s="296"/>
      <c r="R11" s="297"/>
      <c r="T11" s="241" t="s">
        <v>557</v>
      </c>
      <c r="U11" s="298">
        <v>33.299999999999997</v>
      </c>
      <c r="V11" s="298">
        <v>1.8599999999999998E-2</v>
      </c>
    </row>
    <row r="12" spans="1:24" ht="18" customHeight="1">
      <c r="A12" s="276"/>
      <c r="C12" s="1001"/>
      <c r="D12" s="1002"/>
      <c r="E12" s="291"/>
      <c r="F12" s="970" t="s">
        <v>521</v>
      </c>
      <c r="G12" s="970"/>
      <c r="H12" s="970"/>
      <c r="I12" s="970"/>
      <c r="J12" s="292"/>
      <c r="K12" s="52"/>
      <c r="L12" s="293" t="s">
        <v>119</v>
      </c>
      <c r="M12" s="53"/>
      <c r="N12" s="294" t="str">
        <f>IF(M12="","",M12*36.3)</f>
        <v/>
      </c>
      <c r="O12" s="295" t="str">
        <f>IF(M12="","",0.0186)</f>
        <v/>
      </c>
      <c r="P12" s="66" t="str">
        <f>IF(M12="","",N12*O12*44/12)</f>
        <v/>
      </c>
      <c r="Q12" s="296"/>
      <c r="R12" s="297"/>
      <c r="T12" s="241" t="s">
        <v>617</v>
      </c>
      <c r="U12" s="298">
        <v>36.299999999999997</v>
      </c>
      <c r="V12" s="298">
        <v>1.8599999999999998E-2</v>
      </c>
    </row>
    <row r="13" spans="1:24" ht="18" customHeight="1">
      <c r="A13" s="276"/>
      <c r="C13" s="1001"/>
      <c r="D13" s="1002"/>
      <c r="E13" s="291"/>
      <c r="F13" s="970" t="s">
        <v>123</v>
      </c>
      <c r="G13" s="970"/>
      <c r="H13" s="970"/>
      <c r="I13" s="970"/>
      <c r="J13" s="292"/>
      <c r="K13" s="52"/>
      <c r="L13" s="293" t="s">
        <v>119</v>
      </c>
      <c r="M13" s="53"/>
      <c r="N13" s="294" t="str">
        <f>IF(M13="","",M13*36.5)</f>
        <v/>
      </c>
      <c r="O13" s="295" t="str">
        <f>IF(M13="","",0.0187)</f>
        <v/>
      </c>
      <c r="P13" s="66" t="str">
        <f t="shared" si="0"/>
        <v/>
      </c>
      <c r="Q13" s="296"/>
      <c r="R13" s="297"/>
      <c r="T13" s="241" t="s">
        <v>558</v>
      </c>
      <c r="U13" s="298">
        <v>36.5</v>
      </c>
      <c r="V13" s="298">
        <v>1.8700000000000001E-2</v>
      </c>
    </row>
    <row r="14" spans="1:24" ht="18" customHeight="1">
      <c r="A14" s="276"/>
      <c r="C14" s="1001"/>
      <c r="D14" s="1002"/>
      <c r="E14" s="291"/>
      <c r="F14" s="970" t="s">
        <v>124</v>
      </c>
      <c r="G14" s="970"/>
      <c r="H14" s="970"/>
      <c r="I14" s="970"/>
      <c r="J14" s="292"/>
      <c r="K14" s="52"/>
      <c r="L14" s="293" t="s">
        <v>119</v>
      </c>
      <c r="M14" s="53"/>
      <c r="N14" s="294" t="str">
        <f>IF(M14="","",M14*38)</f>
        <v/>
      </c>
      <c r="O14" s="295" t="str">
        <f>IF(M14="","",0.0188)</f>
        <v/>
      </c>
      <c r="P14" s="66" t="str">
        <f t="shared" si="0"/>
        <v/>
      </c>
      <c r="Q14" s="296"/>
      <c r="R14" s="297"/>
      <c r="T14" s="241" t="s">
        <v>559</v>
      </c>
      <c r="U14" s="298">
        <v>38</v>
      </c>
      <c r="V14" s="298">
        <v>1.8800000000000001E-2</v>
      </c>
    </row>
    <row r="15" spans="1:24" ht="18" customHeight="1">
      <c r="A15" s="276"/>
      <c r="C15" s="1001"/>
      <c r="D15" s="1002"/>
      <c r="E15" s="291"/>
      <c r="F15" s="970" t="s">
        <v>125</v>
      </c>
      <c r="G15" s="970"/>
      <c r="H15" s="970"/>
      <c r="I15" s="970"/>
      <c r="J15" s="292"/>
      <c r="K15" s="52"/>
      <c r="L15" s="293" t="s">
        <v>119</v>
      </c>
      <c r="M15" s="53"/>
      <c r="N15" s="294" t="str">
        <f>IF(M15="","",M15*38.9)</f>
        <v/>
      </c>
      <c r="O15" s="295" t="str">
        <f>IF(M15="","",0.0193)</f>
        <v/>
      </c>
      <c r="P15" s="66" t="str">
        <f t="shared" si="0"/>
        <v/>
      </c>
      <c r="Q15" s="296"/>
      <c r="R15" s="297"/>
      <c r="T15" s="241" t="s">
        <v>560</v>
      </c>
      <c r="U15" s="298">
        <v>38.9</v>
      </c>
      <c r="V15" s="298">
        <v>1.9300000000000001E-2</v>
      </c>
    </row>
    <row r="16" spans="1:24" ht="18" customHeight="1">
      <c r="A16" s="276"/>
      <c r="C16" s="1001"/>
      <c r="D16" s="1002"/>
      <c r="E16" s="291"/>
      <c r="F16" s="970" t="s">
        <v>126</v>
      </c>
      <c r="G16" s="970"/>
      <c r="H16" s="970"/>
      <c r="I16" s="970"/>
      <c r="J16" s="292"/>
      <c r="K16" s="52"/>
      <c r="L16" s="293" t="s">
        <v>119</v>
      </c>
      <c r="M16" s="53"/>
      <c r="N16" s="294" t="str">
        <f>IF(M16="","",M16*41.8)</f>
        <v/>
      </c>
      <c r="O16" s="295" t="str">
        <f>IF(M16="","",0.0202)</f>
        <v/>
      </c>
      <c r="P16" s="66" t="str">
        <f>IF(M16="","",N16*O16*44/12)</f>
        <v/>
      </c>
      <c r="Q16" s="296"/>
      <c r="R16" s="297"/>
      <c r="T16" s="241" t="s">
        <v>561</v>
      </c>
      <c r="U16" s="298">
        <v>41.8</v>
      </c>
      <c r="V16" s="298">
        <v>2.0199999999999999E-2</v>
      </c>
    </row>
    <row r="17" spans="1:22" ht="18" customHeight="1">
      <c r="A17" s="276"/>
      <c r="C17" s="1001"/>
      <c r="D17" s="1002"/>
      <c r="E17" s="291"/>
      <c r="F17" s="970" t="s">
        <v>522</v>
      </c>
      <c r="G17" s="970"/>
      <c r="H17" s="970"/>
      <c r="I17" s="970"/>
      <c r="J17" s="292"/>
      <c r="K17" s="52"/>
      <c r="L17" s="293" t="s">
        <v>119</v>
      </c>
      <c r="M17" s="53"/>
      <c r="N17" s="294" t="str">
        <f>IF(M17="","",M17*40.2)</f>
        <v/>
      </c>
      <c r="O17" s="295" t="str">
        <f>IF(M17="","",0.0199)</f>
        <v/>
      </c>
      <c r="P17" s="66" t="str">
        <f>IF(M17="","",N17*O17*44/12)</f>
        <v/>
      </c>
      <c r="Q17" s="296"/>
      <c r="R17" s="297"/>
      <c r="T17" s="241" t="s">
        <v>618</v>
      </c>
      <c r="U17" s="298">
        <v>40.200000000000003</v>
      </c>
      <c r="V17" s="298">
        <v>1.9900000000000001E-2</v>
      </c>
    </row>
    <row r="18" spans="1:22" ht="18" customHeight="1">
      <c r="A18" s="276"/>
      <c r="C18" s="1001"/>
      <c r="D18" s="1002"/>
      <c r="E18" s="291"/>
      <c r="F18" s="970" t="s">
        <v>127</v>
      </c>
      <c r="G18" s="970"/>
      <c r="H18" s="970"/>
      <c r="I18" s="970"/>
      <c r="J18" s="292"/>
      <c r="K18" s="52"/>
      <c r="L18" s="293" t="s">
        <v>128</v>
      </c>
      <c r="M18" s="53"/>
      <c r="N18" s="294" t="str">
        <f>IF(M18="","",M18*40)</f>
        <v/>
      </c>
      <c r="O18" s="295" t="str">
        <f>IF(M18="","",0.0204)</f>
        <v/>
      </c>
      <c r="P18" s="66" t="str">
        <f t="shared" si="0"/>
        <v/>
      </c>
      <c r="Q18" s="296"/>
      <c r="R18" s="297"/>
      <c r="T18" s="241" t="s">
        <v>562</v>
      </c>
      <c r="U18" s="298">
        <v>40</v>
      </c>
      <c r="V18" s="298">
        <v>2.0400000000000001E-2</v>
      </c>
    </row>
    <row r="19" spans="1:22" ht="18" customHeight="1">
      <c r="A19" s="276"/>
      <c r="C19" s="1001"/>
      <c r="D19" s="1002"/>
      <c r="E19" s="300"/>
      <c r="F19" s="984" t="s">
        <v>545</v>
      </c>
      <c r="G19" s="970"/>
      <c r="H19" s="970"/>
      <c r="I19" s="970"/>
      <c r="J19" s="292"/>
      <c r="K19" s="52"/>
      <c r="L19" s="293" t="s">
        <v>128</v>
      </c>
      <c r="M19" s="53"/>
      <c r="N19" s="294" t="str">
        <f>IF(M19="","",M19*34.1)</f>
        <v/>
      </c>
      <c r="O19" s="295" t="str">
        <f>IF(M19="","",0.0245)</f>
        <v/>
      </c>
      <c r="P19" s="66" t="str">
        <f t="shared" si="0"/>
        <v/>
      </c>
      <c r="Q19" s="296"/>
      <c r="R19" s="297"/>
      <c r="T19" s="241" t="s">
        <v>619</v>
      </c>
      <c r="U19" s="298">
        <v>34.1</v>
      </c>
      <c r="V19" s="298">
        <v>2.4500000000000001E-2</v>
      </c>
    </row>
    <row r="20" spans="1:22" ht="18" customHeight="1">
      <c r="A20" s="276"/>
      <c r="C20" s="1001"/>
      <c r="D20" s="1002"/>
      <c r="E20" s="980"/>
      <c r="F20" s="970" t="s">
        <v>129</v>
      </c>
      <c r="G20" s="301"/>
      <c r="H20" s="302"/>
      <c r="I20" s="303" t="s">
        <v>130</v>
      </c>
      <c r="J20" s="292"/>
      <c r="K20" s="52"/>
      <c r="L20" s="293" t="s">
        <v>128</v>
      </c>
      <c r="M20" s="53"/>
      <c r="N20" s="294" t="str">
        <f>IF(M20="","",M20*50.1)</f>
        <v/>
      </c>
      <c r="O20" s="295" t="str">
        <f>IF(M20="","",0.0163)</f>
        <v/>
      </c>
      <c r="P20" s="66" t="str">
        <f t="shared" si="0"/>
        <v/>
      </c>
      <c r="Q20" s="296"/>
      <c r="R20" s="297"/>
      <c r="T20" s="241" t="s">
        <v>620</v>
      </c>
      <c r="U20" s="298">
        <v>50.1</v>
      </c>
      <c r="V20" s="298">
        <v>1.6299999999999999E-2</v>
      </c>
    </row>
    <row r="21" spans="1:22" ht="18" customHeight="1">
      <c r="A21" s="276"/>
      <c r="C21" s="1001"/>
      <c r="D21" s="1002"/>
      <c r="E21" s="981"/>
      <c r="F21" s="970"/>
      <c r="G21" s="263"/>
      <c r="H21" s="302"/>
      <c r="I21" s="303" t="s">
        <v>131</v>
      </c>
      <c r="J21" s="292"/>
      <c r="K21" s="52"/>
      <c r="L21" s="284" t="s">
        <v>523</v>
      </c>
      <c r="M21" s="53"/>
      <c r="N21" s="294" t="str">
        <f>IF(M21="","",M21*46.1)</f>
        <v/>
      </c>
      <c r="O21" s="295" t="str">
        <f>IF(M21="","",0.0144)</f>
        <v/>
      </c>
      <c r="P21" s="66" t="str">
        <f t="shared" si="0"/>
        <v/>
      </c>
      <c r="Q21" s="296"/>
      <c r="R21" s="297"/>
      <c r="T21" s="241" t="s">
        <v>563</v>
      </c>
      <c r="U21" s="298">
        <v>46.1</v>
      </c>
      <c r="V21" s="298">
        <v>1.44E-2</v>
      </c>
    </row>
    <row r="22" spans="1:22" ht="18" customHeight="1">
      <c r="A22" s="276"/>
      <c r="C22" s="1001"/>
      <c r="D22" s="1002"/>
      <c r="E22" s="980"/>
      <c r="F22" s="982" t="s">
        <v>132</v>
      </c>
      <c r="G22" s="304"/>
      <c r="H22" s="305"/>
      <c r="I22" s="303" t="s">
        <v>133</v>
      </c>
      <c r="J22" s="292"/>
      <c r="K22" s="52"/>
      <c r="L22" s="293" t="s">
        <v>128</v>
      </c>
      <c r="M22" s="53"/>
      <c r="N22" s="294" t="str">
        <f>IF(M22="","",M22*54.7)</f>
        <v/>
      </c>
      <c r="O22" s="295" t="str">
        <f>IF(M22="","",0.0139)</f>
        <v/>
      </c>
      <c r="P22" s="66" t="str">
        <f t="shared" si="0"/>
        <v/>
      </c>
      <c r="Q22" s="296"/>
      <c r="R22" s="297"/>
      <c r="T22" s="241" t="s">
        <v>621</v>
      </c>
      <c r="U22" s="298">
        <v>54.7</v>
      </c>
      <c r="V22" s="298">
        <v>1.3899999999999999E-2</v>
      </c>
    </row>
    <row r="23" spans="1:22" ht="18" customHeight="1">
      <c r="A23" s="276"/>
      <c r="C23" s="1001"/>
      <c r="D23" s="1002"/>
      <c r="E23" s="981"/>
      <c r="F23" s="982"/>
      <c r="G23" s="306"/>
      <c r="H23" s="303"/>
      <c r="I23" s="303" t="s">
        <v>766</v>
      </c>
      <c r="J23" s="307"/>
      <c r="K23" s="52"/>
      <c r="L23" s="284" t="s">
        <v>523</v>
      </c>
      <c r="M23" s="53"/>
      <c r="N23" s="294" t="str">
        <f>IF(M23="","",M23*38.4)</f>
        <v/>
      </c>
      <c r="O23" s="295" t="str">
        <f>IF(M23="","",0.0139)</f>
        <v/>
      </c>
      <c r="P23" s="66" t="str">
        <f t="shared" si="0"/>
        <v/>
      </c>
      <c r="Q23" s="296"/>
      <c r="R23" s="297"/>
      <c r="T23" s="241" t="s">
        <v>564</v>
      </c>
      <c r="U23" s="298">
        <v>38.4</v>
      </c>
      <c r="V23" s="298">
        <v>1.3899999999999999E-2</v>
      </c>
    </row>
    <row r="24" spans="1:22" ht="18" customHeight="1">
      <c r="A24" s="276"/>
      <c r="C24" s="1001"/>
      <c r="D24" s="1002"/>
      <c r="E24" s="980"/>
      <c r="F24" s="984" t="s">
        <v>135</v>
      </c>
      <c r="G24" s="301"/>
      <c r="H24" s="302"/>
      <c r="I24" s="308" t="s">
        <v>524</v>
      </c>
      <c r="J24" s="292"/>
      <c r="K24" s="52"/>
      <c r="L24" s="293" t="s">
        <v>128</v>
      </c>
      <c r="M24" s="53"/>
      <c r="N24" s="294" t="str">
        <f>IF(M24="","",M24*28.7)</f>
        <v/>
      </c>
      <c r="O24" s="295" t="str">
        <f>IF(M24="","",0.0246)</f>
        <v/>
      </c>
      <c r="P24" s="66" t="str">
        <f t="shared" si="0"/>
        <v/>
      </c>
      <c r="Q24" s="296"/>
      <c r="R24" s="297"/>
      <c r="T24" s="241" t="s">
        <v>622</v>
      </c>
      <c r="U24" s="298">
        <v>28.7</v>
      </c>
      <c r="V24" s="298">
        <v>2.46E-2</v>
      </c>
    </row>
    <row r="25" spans="1:22" ht="18" customHeight="1">
      <c r="A25" s="276"/>
      <c r="C25" s="1001"/>
      <c r="D25" s="1002"/>
      <c r="E25" s="983"/>
      <c r="F25" s="985"/>
      <c r="G25" s="309"/>
      <c r="H25" s="302"/>
      <c r="I25" s="308" t="s">
        <v>525</v>
      </c>
      <c r="J25" s="292"/>
      <c r="K25" s="52"/>
      <c r="L25" s="293" t="s">
        <v>128</v>
      </c>
      <c r="M25" s="53"/>
      <c r="N25" s="294" t="str">
        <f>IF(M25="","",M25*28.9)</f>
        <v/>
      </c>
      <c r="O25" s="295" t="str">
        <f>IF(M25="","",0.0245)</f>
        <v/>
      </c>
      <c r="P25" s="66" t="str">
        <f>IF(M25="","",N25*O25*44/12)</f>
        <v/>
      </c>
      <c r="Q25" s="296"/>
      <c r="R25" s="297"/>
      <c r="T25" s="241" t="s">
        <v>566</v>
      </c>
      <c r="U25" s="298">
        <v>28.9</v>
      </c>
      <c r="V25" s="298">
        <v>2.4500000000000001E-2</v>
      </c>
    </row>
    <row r="26" spans="1:22" ht="18" customHeight="1">
      <c r="A26" s="276"/>
      <c r="C26" s="1001"/>
      <c r="D26" s="1002"/>
      <c r="E26" s="983"/>
      <c r="F26" s="985"/>
      <c r="G26" s="309"/>
      <c r="H26" s="302"/>
      <c r="I26" s="308" t="s">
        <v>526</v>
      </c>
      <c r="J26" s="292"/>
      <c r="K26" s="52"/>
      <c r="L26" s="293" t="s">
        <v>128</v>
      </c>
      <c r="M26" s="53"/>
      <c r="N26" s="294" t="str">
        <f>IF(M26="","",M26*28.3)</f>
        <v/>
      </c>
      <c r="O26" s="295" t="str">
        <f>IF(M26="","",0.0251)</f>
        <v/>
      </c>
      <c r="P26" s="66" t="str">
        <f>IF(M26="","",N26*O26*44/12)</f>
        <v/>
      </c>
      <c r="Q26" s="296"/>
      <c r="R26" s="297"/>
      <c r="T26" s="241" t="s">
        <v>567</v>
      </c>
      <c r="U26" s="298">
        <v>28.3</v>
      </c>
      <c r="V26" s="298">
        <v>2.5100000000000001E-2</v>
      </c>
    </row>
    <row r="27" spans="1:22" ht="18" customHeight="1">
      <c r="A27" s="276"/>
      <c r="C27" s="1001"/>
      <c r="D27" s="1002"/>
      <c r="E27" s="983"/>
      <c r="F27" s="985"/>
      <c r="G27" s="309"/>
      <c r="H27" s="302"/>
      <c r="I27" s="308" t="s">
        <v>527</v>
      </c>
      <c r="J27" s="292"/>
      <c r="K27" s="52"/>
      <c r="L27" s="293" t="s">
        <v>128</v>
      </c>
      <c r="M27" s="53"/>
      <c r="N27" s="294" t="str">
        <f>IF(M27="","",M27*26.1)</f>
        <v/>
      </c>
      <c r="O27" s="295" t="str">
        <f>IF(M27="","",0.0243)</f>
        <v/>
      </c>
      <c r="P27" s="66" t="str">
        <f>IF(M27="","",N27*O27*44/12)</f>
        <v/>
      </c>
      <c r="Q27" s="296"/>
      <c r="R27" s="297"/>
      <c r="T27" s="241" t="s">
        <v>569</v>
      </c>
      <c r="U27" s="298">
        <v>26.1</v>
      </c>
      <c r="V27" s="298">
        <v>2.4299999999999999E-2</v>
      </c>
    </row>
    <row r="28" spans="1:22" ht="18" customHeight="1">
      <c r="A28" s="276"/>
      <c r="C28" s="1001"/>
      <c r="D28" s="1002"/>
      <c r="E28" s="983"/>
      <c r="F28" s="985"/>
      <c r="G28" s="309"/>
      <c r="H28" s="302"/>
      <c r="I28" s="308" t="s">
        <v>528</v>
      </c>
      <c r="J28" s="292"/>
      <c r="K28" s="52"/>
      <c r="L28" s="293" t="s">
        <v>128</v>
      </c>
      <c r="M28" s="53"/>
      <c r="N28" s="294" t="str">
        <f>IF(M28="","",M28*24.2)</f>
        <v/>
      </c>
      <c r="O28" s="295" t="str">
        <f>IF(M28="","",0.0242)</f>
        <v/>
      </c>
      <c r="P28" s="66" t="str">
        <f>IF(M28="","",N28*O28*44/12)</f>
        <v/>
      </c>
      <c r="Q28" s="296"/>
      <c r="R28" s="297"/>
      <c r="T28" s="241" t="s">
        <v>570</v>
      </c>
      <c r="U28" s="298">
        <v>24.2</v>
      </c>
      <c r="V28" s="298">
        <v>2.4199999999999999E-2</v>
      </c>
    </row>
    <row r="29" spans="1:22" ht="18" customHeight="1">
      <c r="A29" s="276"/>
      <c r="C29" s="1001"/>
      <c r="D29" s="1002"/>
      <c r="E29" s="981"/>
      <c r="F29" s="972"/>
      <c r="G29" s="263"/>
      <c r="H29" s="302"/>
      <c r="I29" s="308" t="s">
        <v>529</v>
      </c>
      <c r="J29" s="292"/>
      <c r="K29" s="52"/>
      <c r="L29" s="293" t="s">
        <v>128</v>
      </c>
      <c r="M29" s="53"/>
      <c r="N29" s="294" t="str">
        <f>IF(M29="","",M29*27.8)</f>
        <v/>
      </c>
      <c r="O29" s="295" t="str">
        <f>IF(M29="","",0.0259)</f>
        <v/>
      </c>
      <c r="P29" s="66" t="str">
        <f t="shared" si="0"/>
        <v/>
      </c>
      <c r="Q29" s="296"/>
      <c r="R29" s="297"/>
      <c r="T29" s="241" t="s">
        <v>571</v>
      </c>
      <c r="U29" s="298">
        <v>27.8</v>
      </c>
      <c r="V29" s="298">
        <v>2.5899999999999999E-2</v>
      </c>
    </row>
    <row r="30" spans="1:22" ht="18" customHeight="1">
      <c r="A30" s="276"/>
      <c r="C30" s="1001"/>
      <c r="D30" s="1002"/>
      <c r="E30" s="291"/>
      <c r="F30" s="970" t="s">
        <v>136</v>
      </c>
      <c r="G30" s="970"/>
      <c r="H30" s="970"/>
      <c r="I30" s="970"/>
      <c r="J30" s="292"/>
      <c r="K30" s="52"/>
      <c r="L30" s="293" t="s">
        <v>128</v>
      </c>
      <c r="M30" s="53"/>
      <c r="N30" s="294" t="str">
        <f>IF(M30="","",M30*29)</f>
        <v/>
      </c>
      <c r="O30" s="295" t="str">
        <f>IF(M30="","",0.0299)</f>
        <v/>
      </c>
      <c r="P30" s="66" t="str">
        <f t="shared" si="0"/>
        <v/>
      </c>
      <c r="Q30" s="296"/>
      <c r="R30" s="297"/>
      <c r="T30" s="241" t="s">
        <v>572</v>
      </c>
      <c r="U30" s="298">
        <v>29</v>
      </c>
      <c r="V30" s="298">
        <v>2.9899999999999999E-2</v>
      </c>
    </row>
    <row r="31" spans="1:22" ht="18" customHeight="1">
      <c r="A31" s="276"/>
      <c r="C31" s="1001"/>
      <c r="D31" s="1002"/>
      <c r="E31" s="291"/>
      <c r="F31" s="970" t="s">
        <v>137</v>
      </c>
      <c r="G31" s="970"/>
      <c r="H31" s="970"/>
      <c r="I31" s="970"/>
      <c r="J31" s="292"/>
      <c r="K31" s="52"/>
      <c r="L31" s="293" t="s">
        <v>128</v>
      </c>
      <c r="M31" s="53"/>
      <c r="N31" s="294" t="str">
        <f>IF(M31="","",M31*37.3)</f>
        <v/>
      </c>
      <c r="O31" s="295" t="str">
        <f>IF(M31="","",0.0209)</f>
        <v/>
      </c>
      <c r="P31" s="66" t="str">
        <f t="shared" si="0"/>
        <v/>
      </c>
      <c r="Q31" s="296"/>
      <c r="R31" s="297"/>
      <c r="T31" s="241" t="s">
        <v>573</v>
      </c>
      <c r="U31" s="298">
        <v>37.299999999999997</v>
      </c>
      <c r="V31" s="298">
        <v>2.0899999999999998E-2</v>
      </c>
    </row>
    <row r="32" spans="1:22" ht="18" customHeight="1">
      <c r="A32" s="276"/>
      <c r="C32" s="1001"/>
      <c r="D32" s="1002"/>
      <c r="E32" s="291"/>
      <c r="F32" s="970" t="s">
        <v>138</v>
      </c>
      <c r="G32" s="970"/>
      <c r="H32" s="970"/>
      <c r="I32" s="970"/>
      <c r="J32" s="292"/>
      <c r="K32" s="52"/>
      <c r="L32" s="284" t="s">
        <v>523</v>
      </c>
      <c r="M32" s="53"/>
      <c r="N32" s="294" t="str">
        <f>IF(M32="","",M32*18.4)</f>
        <v/>
      </c>
      <c r="O32" s="295" t="str">
        <f>IF(M32="","",0.0109)</f>
        <v/>
      </c>
      <c r="P32" s="66" t="str">
        <f t="shared" si="0"/>
        <v/>
      </c>
      <c r="Q32" s="296"/>
      <c r="R32" s="297"/>
      <c r="T32" s="241" t="s">
        <v>574</v>
      </c>
      <c r="U32" s="298">
        <v>18.399999999999999</v>
      </c>
      <c r="V32" s="298">
        <v>1.09E-2</v>
      </c>
    </row>
    <row r="33" spans="1:22" ht="18" customHeight="1">
      <c r="A33" s="276"/>
      <c r="C33" s="1001"/>
      <c r="D33" s="1002"/>
      <c r="E33" s="291"/>
      <c r="F33" s="970" t="s">
        <v>139</v>
      </c>
      <c r="G33" s="970"/>
      <c r="H33" s="970"/>
      <c r="I33" s="970"/>
      <c r="J33" s="292"/>
      <c r="K33" s="52"/>
      <c r="L33" s="284" t="s">
        <v>523</v>
      </c>
      <c r="M33" s="53"/>
      <c r="N33" s="294" t="str">
        <f>IF(M33="","",M33*3.23)</f>
        <v/>
      </c>
      <c r="O33" s="295" t="str">
        <f>IF(M33="","",0.0264)</f>
        <v/>
      </c>
      <c r="P33" s="66" t="str">
        <f>IF(M33="","",N33*O33*44/12)</f>
        <v/>
      </c>
      <c r="Q33" s="296"/>
      <c r="R33" s="297"/>
      <c r="T33" s="241" t="s">
        <v>575</v>
      </c>
      <c r="U33" s="298">
        <v>3.23</v>
      </c>
      <c r="V33" s="298">
        <v>2.64E-2</v>
      </c>
    </row>
    <row r="34" spans="1:22" ht="18" customHeight="1">
      <c r="A34" s="276"/>
      <c r="C34" s="1001"/>
      <c r="D34" s="1002"/>
      <c r="E34" s="291"/>
      <c r="F34" s="970" t="s">
        <v>530</v>
      </c>
      <c r="G34" s="970"/>
      <c r="H34" s="970"/>
      <c r="I34" s="970"/>
      <c r="J34" s="292"/>
      <c r="K34" s="52"/>
      <c r="L34" s="284" t="s">
        <v>523</v>
      </c>
      <c r="M34" s="53"/>
      <c r="N34" s="294" t="str">
        <f>IF(M34="","",M34*3.45)</f>
        <v/>
      </c>
      <c r="O34" s="295" t="str">
        <f>IF(M34="","",0.0264)</f>
        <v/>
      </c>
      <c r="P34" s="66" t="str">
        <f>IF(M34="","",N34*O34*44/12)</f>
        <v/>
      </c>
      <c r="Q34" s="296"/>
      <c r="R34" s="297"/>
      <c r="T34" s="241" t="s">
        <v>576</v>
      </c>
      <c r="U34" s="298">
        <v>3.45</v>
      </c>
      <c r="V34" s="298">
        <v>2.64E-2</v>
      </c>
    </row>
    <row r="35" spans="1:22" ht="18" customHeight="1">
      <c r="A35" s="276"/>
      <c r="C35" s="1001"/>
      <c r="D35" s="1002"/>
      <c r="E35" s="291"/>
      <c r="F35" s="970" t="s">
        <v>140</v>
      </c>
      <c r="G35" s="970"/>
      <c r="H35" s="970"/>
      <c r="I35" s="970"/>
      <c r="J35" s="292"/>
      <c r="K35" s="52"/>
      <c r="L35" s="284" t="s">
        <v>523</v>
      </c>
      <c r="M35" s="53"/>
      <c r="N35" s="294" t="str">
        <f>IF(M35="","",M35*7.53)</f>
        <v/>
      </c>
      <c r="O35" s="295" t="str">
        <f>IF(M35="","",0.042)</f>
        <v/>
      </c>
      <c r="P35" s="66" t="str">
        <f>IF(M35="","",N35*O35*44/12)</f>
        <v/>
      </c>
      <c r="Q35" s="296"/>
      <c r="R35" s="297"/>
      <c r="T35" s="241" t="s">
        <v>577</v>
      </c>
      <c r="U35" s="298">
        <v>7.53</v>
      </c>
      <c r="V35" s="298">
        <v>4.2000000000000003E-2</v>
      </c>
    </row>
    <row r="36" spans="1:22" ht="18" customHeight="1">
      <c r="A36" s="276"/>
      <c r="C36" s="1001"/>
      <c r="D36" s="1002"/>
      <c r="E36" s="300"/>
      <c r="F36" s="970" t="s">
        <v>712</v>
      </c>
      <c r="G36" s="970"/>
      <c r="H36" s="970"/>
      <c r="I36" s="970"/>
      <c r="J36" s="292"/>
      <c r="K36" s="52"/>
      <c r="L36" s="284" t="s">
        <v>523</v>
      </c>
      <c r="M36" s="53"/>
      <c r="N36" s="294" t="str">
        <f>IF(M36="","",M36*40)</f>
        <v/>
      </c>
      <c r="O36" s="55"/>
      <c r="P36" s="66" t="str">
        <f>IF(M36="","",N36*O36*44/12)</f>
        <v/>
      </c>
      <c r="Q36" s="296"/>
      <c r="R36" s="297"/>
      <c r="U36" s="298"/>
      <c r="V36" s="298"/>
    </row>
    <row r="37" spans="1:22" ht="18" customHeight="1">
      <c r="A37" s="276"/>
      <c r="C37" s="1001"/>
      <c r="D37" s="1002"/>
      <c r="E37" s="980"/>
      <c r="F37" s="986" t="s">
        <v>141</v>
      </c>
      <c r="G37" s="988"/>
      <c r="H37" s="310"/>
      <c r="I37" s="87"/>
      <c r="J37" s="292"/>
      <c r="K37" s="52"/>
      <c r="L37" s="54" t="s">
        <v>717</v>
      </c>
      <c r="M37" s="53"/>
      <c r="N37" s="53"/>
      <c r="O37" s="55"/>
      <c r="P37" s="66" t="str">
        <f>IFERROR(IF(M37="","",N37*O37*44/12),"")</f>
        <v/>
      </c>
      <c r="Q37" s="296"/>
      <c r="R37" s="297"/>
      <c r="T37" s="241" t="s">
        <v>623</v>
      </c>
      <c r="U37" s="298">
        <v>40</v>
      </c>
      <c r="V37" s="298">
        <v>0</v>
      </c>
    </row>
    <row r="38" spans="1:22" ht="18" customHeight="1">
      <c r="A38" s="276"/>
      <c r="C38" s="1001"/>
      <c r="D38" s="1002"/>
      <c r="E38" s="983"/>
      <c r="F38" s="987"/>
      <c r="G38" s="989"/>
      <c r="H38" s="310"/>
      <c r="I38" s="87"/>
      <c r="J38" s="292"/>
      <c r="K38" s="52"/>
      <c r="L38" s="54"/>
      <c r="M38" s="53"/>
      <c r="N38" s="53"/>
      <c r="O38" s="55"/>
      <c r="P38" s="66" t="str">
        <f>IFERROR(IF(M38="","",N38*O38*44/12),"")</f>
        <v/>
      </c>
      <c r="Q38" s="296"/>
      <c r="R38" s="297"/>
      <c r="U38" s="298"/>
      <c r="V38" s="298"/>
    </row>
    <row r="39" spans="1:22" ht="18" customHeight="1" thickBot="1">
      <c r="A39" s="276"/>
      <c r="C39" s="1003"/>
      <c r="D39" s="1004"/>
      <c r="E39" s="311"/>
      <c r="F39" s="990" t="s">
        <v>763</v>
      </c>
      <c r="G39" s="990"/>
      <c r="H39" s="990"/>
      <c r="I39" s="990"/>
      <c r="J39" s="312"/>
      <c r="K39" s="353"/>
      <c r="L39" s="313"/>
      <c r="M39" s="416"/>
      <c r="N39" s="72">
        <f>SUM(N8:N38)</f>
        <v>0</v>
      </c>
      <c r="O39" s="417"/>
      <c r="P39" s="73">
        <f>SUM(P8:P38)</f>
        <v>0</v>
      </c>
      <c r="Q39" s="296"/>
      <c r="R39" s="297"/>
      <c r="U39" s="298"/>
      <c r="V39" s="298"/>
    </row>
    <row r="40" spans="1:22" ht="18" customHeight="1" thickTop="1">
      <c r="A40" s="276"/>
      <c r="C40" s="1001" t="s">
        <v>764</v>
      </c>
      <c r="D40" s="1002"/>
      <c r="E40" s="314"/>
      <c r="F40" s="972" t="s">
        <v>142</v>
      </c>
      <c r="G40" s="972"/>
      <c r="H40" s="972"/>
      <c r="I40" s="972"/>
      <c r="J40" s="263"/>
      <c r="K40" s="74"/>
      <c r="L40" s="315" t="s">
        <v>143</v>
      </c>
      <c r="M40" s="75"/>
      <c r="N40" s="316" t="str">
        <f>IF(M40="","",M40*1.17)</f>
        <v/>
      </c>
      <c r="O40" s="419"/>
      <c r="P40" s="317" t="str">
        <f t="shared" ref="P40:P43" si="1">IF(M40="","",M40*O40)</f>
        <v/>
      </c>
      <c r="Q40" s="296"/>
      <c r="R40" s="297"/>
      <c r="T40" s="241" t="s">
        <v>578</v>
      </c>
      <c r="U40" s="298">
        <v>1.17</v>
      </c>
      <c r="V40" s="298">
        <v>0</v>
      </c>
    </row>
    <row r="41" spans="1:22" ht="18" customHeight="1">
      <c r="A41" s="276"/>
      <c r="C41" s="1001"/>
      <c r="D41" s="1002"/>
      <c r="E41" s="291"/>
      <c r="F41" s="970" t="s">
        <v>144</v>
      </c>
      <c r="G41" s="970"/>
      <c r="H41" s="970"/>
      <c r="I41" s="970"/>
      <c r="J41" s="292"/>
      <c r="K41" s="52"/>
      <c r="L41" s="293" t="s">
        <v>143</v>
      </c>
      <c r="M41" s="53"/>
      <c r="N41" s="294" t="str">
        <f>IF(M41="","",M41*1.19)</f>
        <v/>
      </c>
      <c r="O41" s="55"/>
      <c r="P41" s="66" t="str">
        <f>IF(M41="","",M41*O41)</f>
        <v/>
      </c>
      <c r="Q41" s="296"/>
      <c r="R41" s="297"/>
      <c r="T41" s="241" t="s">
        <v>579</v>
      </c>
      <c r="U41" s="298">
        <v>1.19</v>
      </c>
      <c r="V41" s="298">
        <v>0</v>
      </c>
    </row>
    <row r="42" spans="1:22" ht="18" customHeight="1">
      <c r="A42" s="276"/>
      <c r="C42" s="1001"/>
      <c r="D42" s="1002"/>
      <c r="E42" s="291"/>
      <c r="F42" s="970" t="s">
        <v>145</v>
      </c>
      <c r="G42" s="970"/>
      <c r="H42" s="970"/>
      <c r="I42" s="970"/>
      <c r="J42" s="292"/>
      <c r="K42" s="52"/>
      <c r="L42" s="293" t="s">
        <v>143</v>
      </c>
      <c r="M42" s="53"/>
      <c r="N42" s="294" t="str">
        <f>IF(M42="","",M42*1.19)</f>
        <v/>
      </c>
      <c r="O42" s="55"/>
      <c r="P42" s="66" t="str">
        <f t="shared" si="1"/>
        <v/>
      </c>
      <c r="Q42" s="296"/>
      <c r="R42" s="297"/>
      <c r="T42" s="241" t="s">
        <v>580</v>
      </c>
      <c r="U42" s="298">
        <v>1.19</v>
      </c>
      <c r="V42" s="298">
        <v>0</v>
      </c>
    </row>
    <row r="43" spans="1:22" ht="18" customHeight="1">
      <c r="A43" s="276"/>
      <c r="C43" s="1001"/>
      <c r="D43" s="1002"/>
      <c r="E43" s="291"/>
      <c r="F43" s="970" t="s">
        <v>146</v>
      </c>
      <c r="G43" s="970"/>
      <c r="H43" s="970"/>
      <c r="I43" s="970"/>
      <c r="J43" s="292"/>
      <c r="K43" s="52"/>
      <c r="L43" s="293" t="s">
        <v>143</v>
      </c>
      <c r="M43" s="53"/>
      <c r="N43" s="294" t="str">
        <f>IF(M43="","",M43*1.19)</f>
        <v/>
      </c>
      <c r="O43" s="55"/>
      <c r="P43" s="66" t="str">
        <f t="shared" si="1"/>
        <v/>
      </c>
      <c r="Q43" s="296"/>
      <c r="R43" s="297"/>
      <c r="T43" s="241" t="s">
        <v>581</v>
      </c>
      <c r="U43" s="298">
        <v>1.19</v>
      </c>
      <c r="V43" s="298">
        <v>0</v>
      </c>
    </row>
    <row r="44" spans="1:22" ht="18" customHeight="1">
      <c r="A44" s="276"/>
      <c r="C44" s="1001"/>
      <c r="D44" s="1002"/>
      <c r="E44" s="291"/>
      <c r="F44" s="993" t="s">
        <v>730</v>
      </c>
      <c r="G44" s="993"/>
      <c r="H44" s="993"/>
      <c r="I44" s="993"/>
      <c r="J44" s="292"/>
      <c r="K44" s="52"/>
      <c r="L44" s="293" t="s">
        <v>143</v>
      </c>
      <c r="M44" s="53"/>
      <c r="N44" s="318"/>
      <c r="O44" s="319"/>
      <c r="P44" s="320"/>
      <c r="Q44" s="296"/>
      <c r="R44" s="297"/>
      <c r="T44" s="241" t="s">
        <v>727</v>
      </c>
      <c r="U44" s="298">
        <v>1.19</v>
      </c>
      <c r="V44" s="321"/>
    </row>
    <row r="45" spans="1:22" ht="18" customHeight="1">
      <c r="A45" s="276"/>
      <c r="C45" s="1001"/>
      <c r="D45" s="1002"/>
      <c r="E45" s="291"/>
      <c r="F45" s="993" t="s">
        <v>732</v>
      </c>
      <c r="G45" s="993"/>
      <c r="H45" s="993"/>
      <c r="I45" s="993"/>
      <c r="J45" s="292"/>
      <c r="K45" s="52"/>
      <c r="L45" s="293" t="s">
        <v>143</v>
      </c>
      <c r="M45" s="53"/>
      <c r="N45" s="318"/>
      <c r="O45" s="322">
        <v>0.06</v>
      </c>
      <c r="P45" s="66" t="str">
        <f>IF(M45="","",M45*O45)</f>
        <v/>
      </c>
      <c r="Q45" s="296"/>
      <c r="R45" s="297"/>
      <c r="T45" s="241" t="s">
        <v>729</v>
      </c>
      <c r="U45" s="298">
        <v>1.19</v>
      </c>
      <c r="V45" s="321"/>
    </row>
    <row r="46" spans="1:22" ht="18" customHeight="1">
      <c r="A46" s="276"/>
      <c r="C46" s="1001"/>
      <c r="D46" s="1002"/>
      <c r="E46" s="291"/>
      <c r="F46" s="994" t="s">
        <v>726</v>
      </c>
      <c r="G46" s="994"/>
      <c r="H46" s="994"/>
      <c r="I46" s="994"/>
      <c r="J46" s="292"/>
      <c r="K46" s="52"/>
      <c r="L46" s="293" t="s">
        <v>143</v>
      </c>
      <c r="M46" s="53"/>
      <c r="N46" s="323" t="str">
        <f>IF(M46="","",M46*1.19)</f>
        <v/>
      </c>
      <c r="O46" s="319"/>
      <c r="P46" s="320"/>
      <c r="Q46" s="296"/>
      <c r="R46" s="297"/>
      <c r="T46" s="241" t="s">
        <v>731</v>
      </c>
      <c r="U46" s="321"/>
      <c r="V46" s="321"/>
    </row>
    <row r="47" spans="1:22" ht="18" customHeight="1">
      <c r="A47" s="276"/>
      <c r="C47" s="1001"/>
      <c r="D47" s="1002"/>
      <c r="E47" s="291"/>
      <c r="F47" s="993" t="s">
        <v>728</v>
      </c>
      <c r="G47" s="993"/>
      <c r="H47" s="993"/>
      <c r="I47" s="993"/>
      <c r="J47" s="292"/>
      <c r="K47" s="52"/>
      <c r="L47" s="293" t="s">
        <v>143</v>
      </c>
      <c r="M47" s="53"/>
      <c r="N47" s="323" t="str">
        <f>IF(M47="","",M47*1.19)</f>
        <v/>
      </c>
      <c r="O47" s="322">
        <v>0.06</v>
      </c>
      <c r="P47" s="66" t="str">
        <f>IF(M47="","",M47*O47)</f>
        <v/>
      </c>
      <c r="Q47" s="296"/>
      <c r="R47" s="297"/>
      <c r="T47" s="241" t="s">
        <v>733</v>
      </c>
      <c r="U47" s="321"/>
      <c r="V47" s="321"/>
    </row>
    <row r="48" spans="1:22" ht="18" customHeight="1">
      <c r="A48" s="276"/>
      <c r="C48" s="1001"/>
      <c r="D48" s="1002"/>
      <c r="E48" s="291"/>
      <c r="F48" s="995" t="s">
        <v>351</v>
      </c>
      <c r="G48" s="995"/>
      <c r="H48" s="995"/>
      <c r="I48" s="995"/>
      <c r="J48" s="292"/>
      <c r="K48" s="52"/>
      <c r="L48" s="57"/>
      <c r="M48" s="53"/>
      <c r="N48" s="53"/>
      <c r="O48" s="55"/>
      <c r="P48" s="56"/>
      <c r="Q48" s="296"/>
      <c r="R48" s="297"/>
      <c r="U48" s="298"/>
      <c r="V48" s="298"/>
    </row>
    <row r="49" spans="1:22" ht="18" customHeight="1" thickBot="1">
      <c r="A49" s="276"/>
      <c r="C49" s="1003"/>
      <c r="D49" s="1004"/>
      <c r="E49" s="324"/>
      <c r="F49" s="987" t="s">
        <v>147</v>
      </c>
      <c r="G49" s="987"/>
      <c r="H49" s="987"/>
      <c r="I49" s="987"/>
      <c r="J49" s="325"/>
      <c r="K49" s="326"/>
      <c r="L49" s="327"/>
      <c r="M49" s="328"/>
      <c r="N49" s="329">
        <f>SUM(N40:N48)</f>
        <v>0</v>
      </c>
      <c r="O49" s="330"/>
      <c r="P49" s="331">
        <f>SUM(P40:P48)</f>
        <v>0</v>
      </c>
      <c r="Q49" s="296"/>
      <c r="R49" s="332"/>
      <c r="U49" s="298"/>
      <c r="V49" s="298"/>
    </row>
    <row r="50" spans="1:22" s="264" customFormat="1" ht="18" customHeight="1" thickTop="1">
      <c r="A50" s="333"/>
      <c r="C50" s="1008" t="s">
        <v>610</v>
      </c>
      <c r="D50" s="1009"/>
      <c r="E50" s="334"/>
      <c r="F50" s="996" t="s">
        <v>531</v>
      </c>
      <c r="G50" s="996"/>
      <c r="H50" s="996"/>
      <c r="I50" s="996"/>
      <c r="J50" s="335"/>
      <c r="K50" s="58"/>
      <c r="L50" s="336" t="s">
        <v>148</v>
      </c>
      <c r="M50" s="59"/>
      <c r="N50" s="337" t="str">
        <f>IF(M50="","",M50*8.64)</f>
        <v/>
      </c>
      <c r="O50" s="420"/>
      <c r="P50" s="338" t="str">
        <f>IF(M50="","",M50*O50)</f>
        <v/>
      </c>
      <c r="Q50" s="296"/>
      <c r="R50" s="297"/>
      <c r="T50" s="241" t="s">
        <v>624</v>
      </c>
      <c r="U50" s="298">
        <v>8.64</v>
      </c>
      <c r="V50" s="298">
        <v>0</v>
      </c>
    </row>
    <row r="51" spans="1:22" s="264" customFormat="1" ht="18" customHeight="1">
      <c r="A51" s="333"/>
      <c r="C51" s="1001"/>
      <c r="D51" s="1002"/>
      <c r="E51" s="339"/>
      <c r="F51" s="997" t="s">
        <v>738</v>
      </c>
      <c r="G51" s="997"/>
      <c r="H51" s="997"/>
      <c r="I51" s="997"/>
      <c r="J51" s="340"/>
      <c r="K51" s="67"/>
      <c r="L51" s="341" t="s">
        <v>149</v>
      </c>
      <c r="M51" s="68"/>
      <c r="N51" s="342"/>
      <c r="O51" s="343"/>
      <c r="P51" s="344"/>
      <c r="Q51" s="296"/>
      <c r="R51" s="297"/>
      <c r="T51" s="241" t="s">
        <v>735</v>
      </c>
      <c r="U51" s="298">
        <v>8.64</v>
      </c>
      <c r="V51" s="321"/>
    </row>
    <row r="52" spans="1:22" s="264" customFormat="1" ht="18" customHeight="1">
      <c r="A52" s="333"/>
      <c r="C52" s="1001"/>
      <c r="D52" s="1002"/>
      <c r="E52" s="339"/>
      <c r="F52" s="997" t="s">
        <v>740</v>
      </c>
      <c r="G52" s="997"/>
      <c r="H52" s="997"/>
      <c r="I52" s="997"/>
      <c r="J52" s="340"/>
      <c r="K52" s="67"/>
      <c r="L52" s="284" t="s">
        <v>109</v>
      </c>
      <c r="M52" s="68"/>
      <c r="N52" s="342"/>
      <c r="O52" s="345">
        <v>0.48899999999999999</v>
      </c>
      <c r="P52" s="346" t="str">
        <f>IF(M52="","",M52*O52)</f>
        <v/>
      </c>
      <c r="Q52" s="296"/>
      <c r="R52" s="297"/>
      <c r="T52" s="241" t="s">
        <v>737</v>
      </c>
      <c r="U52" s="298">
        <v>8.64</v>
      </c>
      <c r="V52" s="321"/>
    </row>
    <row r="53" spans="1:22" s="264" customFormat="1" ht="18" customHeight="1">
      <c r="A53" s="333"/>
      <c r="C53" s="1001"/>
      <c r="D53" s="1002"/>
      <c r="E53" s="339"/>
      <c r="F53" s="994" t="s">
        <v>734</v>
      </c>
      <c r="G53" s="994"/>
      <c r="H53" s="994"/>
      <c r="I53" s="994"/>
      <c r="J53" s="340"/>
      <c r="K53" s="67"/>
      <c r="L53" s="341" t="s">
        <v>109</v>
      </c>
      <c r="M53" s="68"/>
      <c r="N53" s="347" t="str">
        <f>IF(M53="","",M53*8.64)</f>
        <v/>
      </c>
      <c r="O53" s="343"/>
      <c r="P53" s="348"/>
      <c r="Q53" s="296"/>
      <c r="R53" s="297"/>
      <c r="T53" s="241" t="s">
        <v>739</v>
      </c>
      <c r="U53" s="321"/>
      <c r="V53" s="321"/>
    </row>
    <row r="54" spans="1:22" s="264" customFormat="1" ht="18" customHeight="1">
      <c r="A54" s="333"/>
      <c r="C54" s="1001"/>
      <c r="D54" s="1002"/>
      <c r="E54" s="339"/>
      <c r="F54" s="993" t="s">
        <v>736</v>
      </c>
      <c r="G54" s="993"/>
      <c r="H54" s="993"/>
      <c r="I54" s="993"/>
      <c r="J54" s="340"/>
      <c r="K54" s="67"/>
      <c r="L54" s="349" t="s">
        <v>109</v>
      </c>
      <c r="M54" s="68"/>
      <c r="N54" s="347" t="str">
        <f>IF(M54="","",M54*8.64)</f>
        <v/>
      </c>
      <c r="O54" s="345">
        <v>0.48899999999999999</v>
      </c>
      <c r="P54" s="346" t="str">
        <f>IF(M54="","",M54*O54)</f>
        <v/>
      </c>
      <c r="Q54" s="296"/>
      <c r="R54" s="297"/>
      <c r="T54" s="241" t="s">
        <v>741</v>
      </c>
      <c r="U54" s="321"/>
      <c r="V54" s="321"/>
    </row>
    <row r="55" spans="1:22" s="264" customFormat="1" ht="18" customHeight="1">
      <c r="A55" s="333"/>
      <c r="C55" s="1001"/>
      <c r="D55" s="1002"/>
      <c r="E55" s="300"/>
      <c r="F55" s="982" t="s">
        <v>742</v>
      </c>
      <c r="G55" s="982"/>
      <c r="H55" s="982"/>
      <c r="I55" s="982"/>
      <c r="J55" s="301"/>
      <c r="K55" s="60"/>
      <c r="L55" s="350" t="s">
        <v>109</v>
      </c>
      <c r="M55" s="418"/>
      <c r="N55" s="351"/>
      <c r="O55" s="69"/>
      <c r="P55" s="346" t="str">
        <f t="shared" ref="P55" si="2">IF(M55="","",M55*O55)</f>
        <v/>
      </c>
      <c r="Q55" s="296"/>
      <c r="R55" s="297"/>
      <c r="T55" s="241" t="s">
        <v>742</v>
      </c>
      <c r="U55" s="298">
        <v>8.64</v>
      </c>
      <c r="V55" s="298">
        <v>0</v>
      </c>
    </row>
    <row r="56" spans="1:22" s="264" customFormat="1" ht="18" customHeight="1" thickBot="1">
      <c r="A56" s="333"/>
      <c r="C56" s="1003"/>
      <c r="D56" s="1004"/>
      <c r="E56" s="352"/>
      <c r="F56" s="990" t="s">
        <v>147</v>
      </c>
      <c r="G56" s="990"/>
      <c r="H56" s="990"/>
      <c r="I56" s="990"/>
      <c r="J56" s="353"/>
      <c r="K56" s="353"/>
      <c r="L56" s="354" t="s">
        <v>150</v>
      </c>
      <c r="M56" s="355">
        <f>SUM(M50:M55)</f>
        <v>0</v>
      </c>
      <c r="N56" s="356">
        <f>SUM(N50:N54)</f>
        <v>0</v>
      </c>
      <c r="O56" s="357"/>
      <c r="P56" s="358">
        <f>SUM(P50:P54)</f>
        <v>0</v>
      </c>
      <c r="Q56" s="296"/>
      <c r="R56" s="332"/>
      <c r="T56" s="241" t="s">
        <v>627</v>
      </c>
      <c r="U56" s="298">
        <v>0</v>
      </c>
      <c r="V56" s="298">
        <v>0</v>
      </c>
    </row>
    <row r="57" spans="1:22" s="264" customFormat="1" ht="18" customHeight="1" thickTop="1">
      <c r="A57" s="333"/>
      <c r="C57" s="1010" t="s">
        <v>151</v>
      </c>
      <c r="D57" s="1011"/>
      <c r="E57" s="359"/>
      <c r="F57" s="1007" t="s">
        <v>152</v>
      </c>
      <c r="G57" s="1007"/>
      <c r="H57" s="1007"/>
      <c r="I57" s="1007"/>
      <c r="J57" s="360"/>
      <c r="K57" s="61"/>
      <c r="L57" s="336" t="s">
        <v>108</v>
      </c>
      <c r="M57" s="59"/>
      <c r="N57" s="361"/>
      <c r="O57" s="62"/>
      <c r="P57" s="362" t="str">
        <f>IF(M57="","",-ABS(M57*O57))</f>
        <v/>
      </c>
      <c r="Q57" s="296"/>
      <c r="R57" s="297"/>
      <c r="U57" s="298"/>
      <c r="V57" s="298"/>
    </row>
    <row r="58" spans="1:22" s="264" customFormat="1" ht="18" customHeight="1">
      <c r="A58" s="333"/>
      <c r="C58" s="1012"/>
      <c r="D58" s="1013"/>
      <c r="E58" s="363"/>
      <c r="F58" s="970" t="s">
        <v>153</v>
      </c>
      <c r="G58" s="970"/>
      <c r="H58" s="970"/>
      <c r="I58" s="970"/>
      <c r="J58" s="292"/>
      <c r="K58" s="52"/>
      <c r="L58" s="350" t="s">
        <v>109</v>
      </c>
      <c r="M58" s="63"/>
      <c r="N58" s="342"/>
      <c r="O58" s="64"/>
      <c r="P58" s="364" t="str">
        <f>IF(M58="","",-ABS(M58*O58))</f>
        <v/>
      </c>
      <c r="Q58" s="296"/>
      <c r="R58" s="297"/>
      <c r="U58"/>
      <c r="V58"/>
    </row>
    <row r="59" spans="1:22" s="264" customFormat="1" ht="18" customHeight="1" thickBot="1">
      <c r="A59" s="333"/>
      <c r="C59" s="1014"/>
      <c r="D59" s="1015"/>
      <c r="E59" s="365"/>
      <c r="F59" s="990" t="s">
        <v>147</v>
      </c>
      <c r="G59" s="990"/>
      <c r="H59" s="990"/>
      <c r="I59" s="990"/>
      <c r="J59" s="353"/>
      <c r="K59" s="366"/>
      <c r="L59" s="367"/>
      <c r="M59" s="368"/>
      <c r="N59" s="369"/>
      <c r="O59" s="370"/>
      <c r="P59" s="371">
        <f>SUM(P57:P58)</f>
        <v>0</v>
      </c>
      <c r="Q59" s="296"/>
      <c r="R59" s="332"/>
      <c r="T59" s="268" t="s">
        <v>743</v>
      </c>
      <c r="U59" t="s">
        <v>744</v>
      </c>
      <c r="V59"/>
    </row>
    <row r="60" spans="1:22" s="264" customFormat="1" ht="18" customHeight="1" thickTop="1" thickBot="1">
      <c r="A60" s="333"/>
      <c r="C60" s="372"/>
      <c r="D60" s="1005" t="s">
        <v>154</v>
      </c>
      <c r="E60" s="1005"/>
      <c r="F60" s="1005"/>
      <c r="G60" s="1005"/>
      <c r="H60" s="1005"/>
      <c r="I60" s="1005"/>
      <c r="J60" s="325"/>
      <c r="K60" s="325"/>
      <c r="L60" s="349" t="s">
        <v>143</v>
      </c>
      <c r="M60" s="373"/>
      <c r="N60" s="374">
        <f>N49+N56</f>
        <v>0</v>
      </c>
      <c r="O60" s="375"/>
      <c r="P60" s="376">
        <f>INT(SUM(P39,P49,P56,P59))</f>
        <v>0</v>
      </c>
      <c r="Q60" s="296"/>
      <c r="R60" s="332"/>
      <c r="T60" s="268" t="s">
        <v>745</v>
      </c>
      <c r="U60" t="s">
        <v>746</v>
      </c>
      <c r="V60"/>
    </row>
    <row r="61" spans="1:22" s="264" customFormat="1" ht="18" customHeight="1" thickTop="1" thickBot="1">
      <c r="A61" s="333"/>
      <c r="C61" s="377"/>
      <c r="D61" s="1006" t="s">
        <v>532</v>
      </c>
      <c r="E61" s="1006"/>
      <c r="F61" s="1006"/>
      <c r="G61" s="1006"/>
      <c r="H61" s="1006"/>
      <c r="I61" s="1006"/>
      <c r="J61" s="378"/>
      <c r="K61" s="379"/>
      <c r="L61" s="380"/>
      <c r="M61" s="381"/>
      <c r="N61" s="382"/>
      <c r="O61" s="383"/>
      <c r="P61" s="65"/>
      <c r="Q61" s="296"/>
      <c r="R61" s="332"/>
    </row>
    <row r="62" spans="1:22" s="264" customFormat="1" ht="18" customHeight="1" thickTop="1" thickBot="1">
      <c r="A62" s="333"/>
      <c r="C62" s="384"/>
      <c r="D62" s="1016" t="s">
        <v>155</v>
      </c>
      <c r="E62" s="1016"/>
      <c r="F62" s="1016"/>
      <c r="G62" s="1016"/>
      <c r="H62" s="1016"/>
      <c r="I62" s="1016"/>
      <c r="J62" s="385"/>
      <c r="K62" s="386"/>
      <c r="L62" s="387" t="s">
        <v>110</v>
      </c>
      <c r="M62" s="991">
        <f>INT(N60*0.0258)</f>
        <v>0</v>
      </c>
      <c r="N62" s="992"/>
      <c r="O62" s="388"/>
      <c r="P62" s="389">
        <f>INT(MAX(P60-ABS(P61),0))</f>
        <v>0</v>
      </c>
      <c r="Q62" s="390"/>
      <c r="R62" s="391"/>
    </row>
    <row r="63" spans="1:22" s="264" customFormat="1" ht="18" customHeight="1">
      <c r="A63" s="333"/>
      <c r="C63" s="392"/>
      <c r="D63" s="393"/>
      <c r="E63" s="393"/>
      <c r="F63" s="393"/>
      <c r="G63" s="393"/>
      <c r="H63" s="393"/>
      <c r="I63" s="393"/>
      <c r="J63" s="394"/>
      <c r="K63" s="394"/>
      <c r="L63" s="395"/>
      <c r="M63" s="396"/>
      <c r="N63" s="396"/>
      <c r="O63" s="388"/>
      <c r="P63" s="397"/>
      <c r="Q63" s="390"/>
      <c r="R63" s="391"/>
    </row>
    <row r="64" spans="1:22" s="264" customFormat="1" ht="32.25" customHeight="1">
      <c r="A64" s="333"/>
      <c r="C64" s="998" t="s">
        <v>710</v>
      </c>
      <c r="D64" s="998"/>
      <c r="E64" s="998"/>
      <c r="F64" s="998"/>
      <c r="G64" s="998"/>
      <c r="H64" s="998"/>
      <c r="I64" s="398" t="str">
        <f>IF(その1!AD20="","",ROUND(N60/その1!AD20*1000,0))</f>
        <v/>
      </c>
      <c r="J64" s="259" t="s">
        <v>711</v>
      </c>
      <c r="K64" s="399"/>
      <c r="L64" s="399"/>
      <c r="M64" s="396"/>
      <c r="N64" s="396"/>
      <c r="O64" s="388"/>
      <c r="P64" s="397"/>
      <c r="Q64" s="390"/>
      <c r="R64" s="391"/>
    </row>
    <row r="65" spans="1:22" s="264" customFormat="1" ht="18" customHeight="1">
      <c r="A65" s="333"/>
      <c r="C65" s="392"/>
      <c r="D65" s="393"/>
      <c r="E65" s="393"/>
      <c r="F65" s="393"/>
      <c r="G65" s="393"/>
      <c r="H65" s="393"/>
      <c r="I65" s="393"/>
      <c r="J65" s="394"/>
      <c r="K65" s="394"/>
      <c r="L65" s="395"/>
      <c r="M65" s="396"/>
      <c r="N65" s="396"/>
      <c r="O65" s="388"/>
      <c r="P65" s="390"/>
      <c r="Q65" s="390"/>
      <c r="R65" s="391"/>
    </row>
    <row r="66" spans="1:22" s="264" customFormat="1" ht="3" customHeight="1">
      <c r="A66" s="257"/>
      <c r="B66" s="258"/>
      <c r="C66" s="258"/>
      <c r="D66" s="400"/>
      <c r="E66" s="400"/>
      <c r="F66" s="401"/>
      <c r="G66" s="402"/>
      <c r="H66" s="402"/>
      <c r="I66" s="403"/>
      <c r="J66" s="402"/>
      <c r="K66" s="258"/>
      <c r="L66" s="404"/>
      <c r="M66" s="405"/>
      <c r="N66" s="405"/>
      <c r="O66" s="406"/>
      <c r="P66" s="407"/>
      <c r="Q66" s="407"/>
      <c r="R66" s="408"/>
    </row>
    <row r="67" spans="1:22" s="264" customFormat="1" ht="18" customHeight="1">
      <c r="F67" s="265"/>
      <c r="G67" s="265"/>
      <c r="H67" s="265"/>
      <c r="I67" s="265"/>
      <c r="J67" s="265"/>
      <c r="K67" s="265"/>
      <c r="L67" s="266"/>
      <c r="M67" s="409"/>
      <c r="N67" s="410"/>
      <c r="O67" s="411"/>
      <c r="P67" s="412"/>
      <c r="Q67" s="412"/>
      <c r="R67" s="413" t="s">
        <v>478</v>
      </c>
    </row>
    <row r="68" spans="1:22" s="264" customFormat="1" ht="9" customHeight="1">
      <c r="F68" s="268"/>
      <c r="G68" s="268"/>
      <c r="H68" s="268"/>
      <c r="I68" s="265"/>
      <c r="J68" s="265"/>
      <c r="K68" s="265"/>
      <c r="L68" s="266"/>
      <c r="M68" s="267"/>
      <c r="N68" s="268"/>
      <c r="O68" s="267"/>
      <c r="P68" s="414"/>
      <c r="Q68" s="414"/>
      <c r="R68" s="414"/>
    </row>
    <row r="69" spans="1:22">
      <c r="K69" s="265"/>
      <c r="S69" s="415"/>
      <c r="T69" s="415"/>
      <c r="U69" s="415"/>
      <c r="V69" s="415"/>
    </row>
    <row r="70" spans="1:22">
      <c r="S70" s="415"/>
      <c r="T70" s="415"/>
      <c r="U70" s="415"/>
      <c r="V70" s="415"/>
    </row>
    <row r="71" spans="1:22">
      <c r="S71" s="415"/>
      <c r="T71" s="415"/>
      <c r="U71" s="415"/>
      <c r="V71" s="415"/>
    </row>
  </sheetData>
  <sheetProtection algorithmName="SHA-512" hashValue="Dn3Xb4N1pHU83Rm6bsDL8C80kdVDYk5znUMwsEXTIiIF8ADuy/5PpmfA0u7xP8HyefDWDVax9P8ONk46OhRbzA==" saltValue="GYi7J0QQcGBLA7j9lMGtLA==" spinCount="100000" sheet="1" objects="1" scenarios="1" formatRows="0" selectLockedCells="1"/>
  <mergeCells count="63">
    <mergeCell ref="C64:H64"/>
    <mergeCell ref="C8:D39"/>
    <mergeCell ref="D60:I60"/>
    <mergeCell ref="D61:I61"/>
    <mergeCell ref="F56:I56"/>
    <mergeCell ref="F57:I57"/>
    <mergeCell ref="F58:I58"/>
    <mergeCell ref="C50:D56"/>
    <mergeCell ref="C57:D59"/>
    <mergeCell ref="F59:I59"/>
    <mergeCell ref="D62:I62"/>
    <mergeCell ref="C40:D49"/>
    <mergeCell ref="F44:I44"/>
    <mergeCell ref="F34:I34"/>
    <mergeCell ref="F35:I35"/>
    <mergeCell ref="F36:I36"/>
    <mergeCell ref="M62:N62"/>
    <mergeCell ref="F45:I45"/>
    <mergeCell ref="F46:I46"/>
    <mergeCell ref="F47:I47"/>
    <mergeCell ref="F48:I48"/>
    <mergeCell ref="F49:I49"/>
    <mergeCell ref="F50:I50"/>
    <mergeCell ref="F51:I51"/>
    <mergeCell ref="F52:I52"/>
    <mergeCell ref="F53:I53"/>
    <mergeCell ref="F54:I54"/>
    <mergeCell ref="F55:I55"/>
    <mergeCell ref="E37:E38"/>
    <mergeCell ref="F37:F38"/>
    <mergeCell ref="G37:G38"/>
    <mergeCell ref="F39:I39"/>
    <mergeCell ref="F40:I40"/>
    <mergeCell ref="F41:I41"/>
    <mergeCell ref="F42:I42"/>
    <mergeCell ref="F43:I43"/>
    <mergeCell ref="F33:I33"/>
    <mergeCell ref="F18:I18"/>
    <mergeCell ref="F19:I19"/>
    <mergeCell ref="F30:I30"/>
    <mergeCell ref="F31:I31"/>
    <mergeCell ref="F32:I32"/>
    <mergeCell ref="E20:E21"/>
    <mergeCell ref="F20:F21"/>
    <mergeCell ref="E22:E23"/>
    <mergeCell ref="F22:F23"/>
    <mergeCell ref="E24:E29"/>
    <mergeCell ref="F24:F29"/>
    <mergeCell ref="O6:P6"/>
    <mergeCell ref="F8:I8"/>
    <mergeCell ref="F9:I9"/>
    <mergeCell ref="F10:I10"/>
    <mergeCell ref="F11:I11"/>
    <mergeCell ref="F17:I17"/>
    <mergeCell ref="D6:I7"/>
    <mergeCell ref="K6:K7"/>
    <mergeCell ref="L6:M6"/>
    <mergeCell ref="N6:N7"/>
    <mergeCell ref="F12:I12"/>
    <mergeCell ref="F13:I13"/>
    <mergeCell ref="F14:I14"/>
    <mergeCell ref="F15:I15"/>
    <mergeCell ref="F16:I16"/>
  </mergeCells>
  <phoneticPr fontId="2"/>
  <conditionalFormatting sqref="O36:O43">
    <cfRule type="expression" dxfId="26" priority="2">
      <formula>AND($M36&gt;0,$O36="")</formula>
    </cfRule>
  </conditionalFormatting>
  <conditionalFormatting sqref="O48">
    <cfRule type="expression" dxfId="25" priority="9">
      <formula>AND($M48&gt;0,$O48="")</formula>
    </cfRule>
  </conditionalFormatting>
  <conditionalFormatting sqref="O50">
    <cfRule type="expression" dxfId="24" priority="10">
      <formula>AND($M50&gt;0,$O50="")</formula>
    </cfRule>
  </conditionalFormatting>
  <conditionalFormatting sqref="O55">
    <cfRule type="expression" dxfId="23" priority="11">
      <formula>AND($M55&gt;0,$O55="")</formula>
    </cfRule>
  </conditionalFormatting>
  <conditionalFormatting sqref="O57:O58">
    <cfRule type="expression" dxfId="22" priority="12">
      <formula>AND($M57&gt;0,$O57="")</formula>
    </cfRule>
  </conditionalFormatting>
  <conditionalFormatting sqref="P61">
    <cfRule type="expression" dxfId="21" priority="1">
      <formula>$P$61&gt;$P$60</formula>
    </cfRule>
  </conditionalFormatting>
  <dataValidations count="4">
    <dataValidation type="list" showInputMessage="1" showErrorMessage="1" sqref="L37:L38" xr:uid="{00000000-0002-0000-0500-000000000000}">
      <formula1>"　,t,kL,千Nm3"</formula1>
    </dataValidation>
    <dataValidation imeMode="off" allowBlank="1" showInputMessage="1" showErrorMessage="1" sqref="M8:M49 M55:M61" xr:uid="{00000000-0002-0000-0500-000001000000}"/>
    <dataValidation type="list" allowBlank="1" showInputMessage="1" showErrorMessage="1" sqref="K8:K48 K57:K58 K50:K55" xr:uid="{00000000-0002-0000-0500-000002000000}">
      <formula1>"○"</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1"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5" style="116" customWidth="1"/>
    <col min="2" max="2" width="1.5" style="116" customWidth="1"/>
    <col min="3" max="18" width="2.375" style="116" customWidth="1"/>
    <col min="19" max="19" width="5" style="116" bestFit="1" customWidth="1"/>
    <col min="20" max="27" width="2.375" style="116" customWidth="1"/>
    <col min="28" max="39" width="2.5" style="116" customWidth="1"/>
    <col min="40" max="40" width="1.125" style="116" customWidth="1"/>
    <col min="41" max="41" width="0.5" style="116" hidden="1" customWidth="1"/>
    <col min="42" max="47" width="2.125" style="116" customWidth="1"/>
    <col min="48" max="16384" width="9" style="116"/>
  </cols>
  <sheetData>
    <row r="1" spans="1:47" ht="12" customHeight="1">
      <c r="A1" s="116" t="s">
        <v>38</v>
      </c>
      <c r="AD1" s="190"/>
      <c r="AE1" s="190"/>
      <c r="AF1" s="190"/>
      <c r="AG1" s="190"/>
      <c r="AH1" s="190"/>
      <c r="AI1" s="190"/>
      <c r="AJ1" s="190"/>
      <c r="AK1" s="190"/>
      <c r="AL1" s="190"/>
      <c r="AM1" s="190"/>
      <c r="AN1" s="190"/>
      <c r="AO1" s="190"/>
    </row>
    <row r="2" spans="1:47" ht="3" customHeight="1">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91"/>
      <c r="AE2" s="191"/>
      <c r="AF2" s="191"/>
      <c r="AG2" s="191"/>
      <c r="AH2" s="191"/>
      <c r="AI2" s="191"/>
      <c r="AJ2" s="191"/>
      <c r="AK2" s="191"/>
      <c r="AL2" s="191"/>
      <c r="AM2" s="191"/>
      <c r="AN2" s="191"/>
      <c r="AO2" s="192"/>
    </row>
    <row r="3" spans="1:47" ht="12" customHeight="1">
      <c r="A3" s="120"/>
      <c r="AD3" s="190"/>
      <c r="AE3" s="190"/>
      <c r="AF3" s="190"/>
      <c r="AG3" s="190"/>
      <c r="AH3" s="190"/>
      <c r="AI3" s="190"/>
      <c r="AJ3" s="190"/>
      <c r="AK3" s="190"/>
      <c r="AL3" s="190"/>
      <c r="AM3" s="190"/>
      <c r="AN3" s="190"/>
      <c r="AO3" s="193"/>
    </row>
    <row r="4" spans="1:47" s="241" customFormat="1" ht="16.5" hidden="1" customHeight="1" thickBot="1">
      <c r="A4" s="276"/>
      <c r="C4" s="264" t="s">
        <v>342</v>
      </c>
      <c r="D4" s="264"/>
      <c r="E4" s="264"/>
      <c r="F4" s="264"/>
      <c r="G4" s="264"/>
      <c r="H4" s="264"/>
      <c r="I4" s="264"/>
      <c r="J4" s="264"/>
      <c r="K4" s="264"/>
      <c r="L4" s="264"/>
      <c r="M4" s="264"/>
      <c r="N4" s="264"/>
      <c r="O4" s="264"/>
      <c r="P4" s="264"/>
      <c r="Q4" s="264"/>
      <c r="AO4" s="309"/>
      <c r="AP4" s="264"/>
      <c r="AU4" s="1"/>
    </row>
    <row r="5" spans="1:47" s="241" customFormat="1" ht="16.5" hidden="1" customHeight="1">
      <c r="A5" s="276"/>
      <c r="C5" s="1030" t="s">
        <v>341</v>
      </c>
      <c r="D5" s="1030"/>
      <c r="E5" s="1030"/>
      <c r="F5" s="1030"/>
      <c r="G5" s="1030"/>
      <c r="H5" s="1030"/>
      <c r="I5" s="1030"/>
      <c r="J5" s="1030"/>
      <c r="K5" s="1030"/>
      <c r="L5" s="1030"/>
      <c r="M5" s="1030"/>
      <c r="N5" s="1030"/>
      <c r="O5" s="1030"/>
      <c r="P5" s="1030"/>
      <c r="Q5" s="1030"/>
      <c r="R5" s="1031"/>
      <c r="S5" s="973" t="s">
        <v>350</v>
      </c>
      <c r="T5" s="973" t="s">
        <v>348</v>
      </c>
      <c r="U5" s="973"/>
      <c r="V5" s="973"/>
      <c r="W5" s="1017" t="s">
        <v>347</v>
      </c>
      <c r="X5" s="1018"/>
      <c r="Y5" s="1018"/>
      <c r="Z5" s="1018"/>
      <c r="AA5" s="1019"/>
      <c r="AB5" s="1034" t="s">
        <v>353</v>
      </c>
      <c r="AC5" s="1018"/>
      <c r="AD5" s="1018"/>
      <c r="AE5" s="1018"/>
      <c r="AF5" s="1018"/>
      <c r="AG5" s="1018"/>
      <c r="AH5" s="1018"/>
      <c r="AI5" s="1018"/>
      <c r="AJ5" s="1018"/>
      <c r="AK5" s="1018"/>
      <c r="AL5" s="1018"/>
      <c r="AM5" s="1035"/>
      <c r="AN5" s="279"/>
      <c r="AO5" s="309"/>
      <c r="AP5" s="264"/>
    </row>
    <row r="6" spans="1:47" s="241" customFormat="1" ht="16.5" hidden="1" customHeight="1">
      <c r="A6" s="276"/>
      <c r="C6" s="1032"/>
      <c r="D6" s="1032"/>
      <c r="E6" s="1032"/>
      <c r="F6" s="1032"/>
      <c r="G6" s="1032"/>
      <c r="H6" s="1032"/>
      <c r="I6" s="1032"/>
      <c r="J6" s="1032"/>
      <c r="K6" s="1032"/>
      <c r="L6" s="1032"/>
      <c r="M6" s="1032"/>
      <c r="N6" s="1032"/>
      <c r="O6" s="1032"/>
      <c r="P6" s="1032"/>
      <c r="Q6" s="1032"/>
      <c r="R6" s="1033"/>
      <c r="S6" s="1029"/>
      <c r="T6" s="1029"/>
      <c r="U6" s="1029"/>
      <c r="V6" s="1029"/>
      <c r="W6" s="1020"/>
      <c r="X6" s="1021"/>
      <c r="Y6" s="1021"/>
      <c r="Z6" s="1021"/>
      <c r="AA6" s="1022"/>
      <c r="AB6" s="1023"/>
      <c r="AC6" s="1024"/>
      <c r="AD6" s="1024"/>
      <c r="AE6" s="1024"/>
      <c r="AF6" s="1024"/>
      <c r="AG6" s="1024"/>
      <c r="AH6" s="1024"/>
      <c r="AI6" s="1024"/>
      <c r="AJ6" s="1024"/>
      <c r="AK6" s="1024"/>
      <c r="AL6" s="1024"/>
      <c r="AM6" s="1036"/>
      <c r="AN6" s="279"/>
      <c r="AO6" s="309"/>
      <c r="AP6" s="264"/>
    </row>
    <row r="7" spans="1:47" s="241" customFormat="1" ht="16.5" hidden="1" customHeight="1">
      <c r="A7" s="276"/>
      <c r="C7" s="1032"/>
      <c r="D7" s="1032"/>
      <c r="E7" s="1032"/>
      <c r="F7" s="1032"/>
      <c r="G7" s="1032"/>
      <c r="H7" s="1032"/>
      <c r="I7" s="1032"/>
      <c r="J7" s="1032"/>
      <c r="K7" s="1032"/>
      <c r="L7" s="1032"/>
      <c r="M7" s="1032"/>
      <c r="N7" s="1032"/>
      <c r="O7" s="1032"/>
      <c r="P7" s="1032"/>
      <c r="Q7" s="1032"/>
      <c r="R7" s="1033"/>
      <c r="S7" s="1029"/>
      <c r="T7" s="1029"/>
      <c r="U7" s="1029"/>
      <c r="V7" s="1029"/>
      <c r="W7" s="1023"/>
      <c r="X7" s="1024"/>
      <c r="Y7" s="1024"/>
      <c r="Z7" s="1024"/>
      <c r="AA7" s="1025"/>
      <c r="AB7" s="1023" t="s">
        <v>346</v>
      </c>
      <c r="AC7" s="1024"/>
      <c r="AD7" s="1024"/>
      <c r="AE7" s="1024"/>
      <c r="AF7" s="1024"/>
      <c r="AG7" s="1025"/>
      <c r="AH7" s="1023" t="s">
        <v>352</v>
      </c>
      <c r="AI7" s="1024"/>
      <c r="AJ7" s="1024"/>
      <c r="AK7" s="1024"/>
      <c r="AL7" s="1024"/>
      <c r="AM7" s="1036"/>
      <c r="AN7" s="279"/>
      <c r="AO7" s="309"/>
      <c r="AP7" s="264"/>
    </row>
    <row r="8" spans="1:47" s="241" customFormat="1" ht="22.5" hidden="1" customHeight="1">
      <c r="A8" s="276"/>
      <c r="C8" s="421"/>
      <c r="D8" s="970" t="s">
        <v>39</v>
      </c>
      <c r="E8" s="970"/>
      <c r="F8" s="970"/>
      <c r="G8" s="970"/>
      <c r="H8" s="970"/>
      <c r="I8" s="970"/>
      <c r="J8" s="970"/>
      <c r="K8" s="970"/>
      <c r="L8" s="970"/>
      <c r="M8" s="970"/>
      <c r="N8" s="970"/>
      <c r="O8" s="970"/>
      <c r="P8" s="970"/>
      <c r="Q8" s="970"/>
      <c r="R8" s="292"/>
      <c r="S8" s="422"/>
      <c r="T8" s="1027" t="s">
        <v>349</v>
      </c>
      <c r="U8" s="1027"/>
      <c r="V8" s="1027"/>
      <c r="W8" s="1026"/>
      <c r="X8" s="1026"/>
      <c r="Y8" s="1026"/>
      <c r="Z8" s="1026"/>
      <c r="AA8" s="1026"/>
      <c r="AB8" s="1077" t="str">
        <f>IF(W8="","",0.2)</f>
        <v/>
      </c>
      <c r="AC8" s="1077"/>
      <c r="AD8" s="1077"/>
      <c r="AE8" s="1077"/>
      <c r="AF8" s="1077"/>
      <c r="AG8" s="1077"/>
      <c r="AH8" s="1078" t="str">
        <f>IF(W8="","",W8*AB8)</f>
        <v/>
      </c>
      <c r="AI8" s="1078"/>
      <c r="AJ8" s="1078"/>
      <c r="AK8" s="1078"/>
      <c r="AL8" s="1078"/>
      <c r="AM8" s="1079"/>
      <c r="AN8" s="423"/>
      <c r="AO8" s="309"/>
      <c r="AP8" s="264"/>
    </row>
    <row r="9" spans="1:47" s="241" customFormat="1" ht="22.5" hidden="1" customHeight="1">
      <c r="A9" s="276"/>
      <c r="C9" s="421"/>
      <c r="D9" s="970" t="s">
        <v>40</v>
      </c>
      <c r="E9" s="970"/>
      <c r="F9" s="970"/>
      <c r="G9" s="970"/>
      <c r="H9" s="970"/>
      <c r="I9" s="970"/>
      <c r="J9" s="970"/>
      <c r="K9" s="970"/>
      <c r="L9" s="970"/>
      <c r="M9" s="970"/>
      <c r="N9" s="970"/>
      <c r="O9" s="970"/>
      <c r="P9" s="970"/>
      <c r="Q9" s="970"/>
      <c r="R9" s="292"/>
      <c r="S9" s="422"/>
      <c r="T9" s="1027" t="s">
        <v>349</v>
      </c>
      <c r="U9" s="1027"/>
      <c r="V9" s="1027"/>
      <c r="W9" s="1026"/>
      <c r="X9" s="1026"/>
      <c r="Y9" s="1026"/>
      <c r="Z9" s="1026"/>
      <c r="AA9" s="1026"/>
      <c r="AB9" s="1077" t="str">
        <f>IF(W9="","",0.45)</f>
        <v/>
      </c>
      <c r="AC9" s="1077"/>
      <c r="AD9" s="1077"/>
      <c r="AE9" s="1077"/>
      <c r="AF9" s="1077"/>
      <c r="AG9" s="1077"/>
      <c r="AH9" s="1078" t="str">
        <f>IF(W9="","",W9*AB9)</f>
        <v/>
      </c>
      <c r="AI9" s="1078"/>
      <c r="AJ9" s="1078"/>
      <c r="AK9" s="1078"/>
      <c r="AL9" s="1078"/>
      <c r="AM9" s="1079"/>
      <c r="AN9" s="423"/>
      <c r="AO9" s="309"/>
      <c r="AP9" s="264"/>
    </row>
    <row r="10" spans="1:47" s="241" customFormat="1" ht="22.5" hidden="1" customHeight="1">
      <c r="A10" s="276"/>
      <c r="C10" s="1098"/>
      <c r="D10" s="1099"/>
      <c r="E10" s="1099"/>
      <c r="F10" s="1099"/>
      <c r="G10" s="1099"/>
      <c r="H10" s="1099"/>
      <c r="I10" s="1099"/>
      <c r="J10" s="1099"/>
      <c r="K10" s="1099"/>
      <c r="L10" s="1099"/>
      <c r="M10" s="1099"/>
      <c r="N10" s="1099"/>
      <c r="O10" s="1099"/>
      <c r="P10" s="1099"/>
      <c r="Q10" s="1099"/>
      <c r="R10" s="1100"/>
      <c r="S10" s="422"/>
      <c r="T10" s="1028"/>
      <c r="U10" s="1028"/>
      <c r="V10" s="1028"/>
      <c r="W10" s="1090"/>
      <c r="X10" s="1090"/>
      <c r="Y10" s="1090"/>
      <c r="Z10" s="1090"/>
      <c r="AA10" s="1090"/>
      <c r="AB10" s="1044"/>
      <c r="AC10" s="1044"/>
      <c r="AD10" s="1044"/>
      <c r="AE10" s="1044"/>
      <c r="AF10" s="1044"/>
      <c r="AG10" s="1044"/>
      <c r="AH10" s="1047"/>
      <c r="AI10" s="1047"/>
      <c r="AJ10" s="1047"/>
      <c r="AK10" s="1047"/>
      <c r="AL10" s="1047"/>
      <c r="AM10" s="1048"/>
      <c r="AN10" s="424"/>
      <c r="AO10" s="309"/>
      <c r="AP10" s="264"/>
    </row>
    <row r="11" spans="1:47" s="241" customFormat="1" ht="22.5" hidden="1" customHeight="1" thickBot="1">
      <c r="A11" s="276"/>
      <c r="C11" s="1087"/>
      <c r="D11" s="1088"/>
      <c r="E11" s="1088"/>
      <c r="F11" s="1088"/>
      <c r="G11" s="1088"/>
      <c r="H11" s="1088"/>
      <c r="I11" s="1088"/>
      <c r="J11" s="1088"/>
      <c r="K11" s="1088"/>
      <c r="L11" s="1088"/>
      <c r="M11" s="1088"/>
      <c r="N11" s="1088"/>
      <c r="O11" s="1088"/>
      <c r="P11" s="1088"/>
      <c r="Q11" s="1088"/>
      <c r="R11" s="1089"/>
      <c r="S11" s="425"/>
      <c r="T11" s="1043"/>
      <c r="U11" s="1043"/>
      <c r="V11" s="1043"/>
      <c r="W11" s="1045"/>
      <c r="X11" s="1045"/>
      <c r="Y11" s="1045"/>
      <c r="Z11" s="1045"/>
      <c r="AA11" s="1045"/>
      <c r="AB11" s="1038"/>
      <c r="AC11" s="1038"/>
      <c r="AD11" s="1038"/>
      <c r="AE11" s="1038"/>
      <c r="AF11" s="1038"/>
      <c r="AG11" s="1038"/>
      <c r="AH11" s="1049"/>
      <c r="AI11" s="1049"/>
      <c r="AJ11" s="1049"/>
      <c r="AK11" s="1049"/>
      <c r="AL11" s="1049"/>
      <c r="AM11" s="1050"/>
      <c r="AN11" s="424"/>
      <c r="AO11" s="309"/>
      <c r="AP11" s="264"/>
    </row>
    <row r="12" spans="1:47" s="241" customFormat="1" ht="22.5" hidden="1" customHeight="1" thickTop="1" thickBot="1">
      <c r="A12" s="276"/>
      <c r="C12" s="1084" t="s">
        <v>343</v>
      </c>
      <c r="D12" s="1085"/>
      <c r="E12" s="1085"/>
      <c r="F12" s="1085"/>
      <c r="G12" s="1085"/>
      <c r="H12" s="1085"/>
      <c r="I12" s="1085"/>
      <c r="J12" s="1085"/>
      <c r="K12" s="1085"/>
      <c r="L12" s="1085"/>
      <c r="M12" s="1085"/>
      <c r="N12" s="1085"/>
      <c r="O12" s="1085"/>
      <c r="P12" s="1085"/>
      <c r="Q12" s="1085"/>
      <c r="R12" s="1085"/>
      <c r="S12" s="1085"/>
      <c r="T12" s="1085"/>
      <c r="U12" s="1085"/>
      <c r="V12" s="1086"/>
      <c r="W12" s="1037"/>
      <c r="X12" s="1037"/>
      <c r="Y12" s="1037"/>
      <c r="Z12" s="1037"/>
      <c r="AA12" s="1037"/>
      <c r="AB12" s="1046"/>
      <c r="AC12" s="1046"/>
      <c r="AD12" s="1046"/>
      <c r="AE12" s="1046"/>
      <c r="AF12" s="1046"/>
      <c r="AG12" s="1046"/>
      <c r="AH12" s="1074">
        <f>SUM(AH8:AM11)</f>
        <v>0</v>
      </c>
      <c r="AI12" s="1075"/>
      <c r="AJ12" s="1075"/>
      <c r="AK12" s="1075"/>
      <c r="AL12" s="1075"/>
      <c r="AM12" s="1076"/>
      <c r="AN12" s="426"/>
      <c r="AO12" s="309"/>
      <c r="AP12" s="264"/>
    </row>
    <row r="13" spans="1:47" s="241" customFormat="1" ht="12" hidden="1" customHeight="1">
      <c r="A13" s="276"/>
      <c r="C13" s="264"/>
      <c r="D13" s="264"/>
      <c r="E13" s="264"/>
      <c r="F13" s="264"/>
      <c r="G13" s="264"/>
      <c r="H13" s="264"/>
      <c r="I13" s="264"/>
      <c r="J13" s="264"/>
      <c r="K13" s="264"/>
      <c r="L13" s="264"/>
      <c r="M13" s="264"/>
      <c r="N13" s="264"/>
      <c r="O13" s="264"/>
      <c r="P13" s="264"/>
      <c r="Q13" s="264"/>
      <c r="AO13" s="309"/>
      <c r="AP13" s="264"/>
      <c r="AU13" s="1"/>
    </row>
    <row r="14" spans="1:47" ht="16.5" customHeight="1" thickBot="1">
      <c r="A14" s="120"/>
      <c r="C14" s="116" t="s">
        <v>465</v>
      </c>
      <c r="AO14" s="121"/>
    </row>
    <row r="15" spans="1:47" ht="24" customHeight="1">
      <c r="A15" s="120"/>
      <c r="C15" s="958" t="s">
        <v>344</v>
      </c>
      <c r="D15" s="959"/>
      <c r="E15" s="959"/>
      <c r="F15" s="959"/>
      <c r="G15" s="959"/>
      <c r="H15" s="959"/>
      <c r="I15" s="959"/>
      <c r="J15" s="1082" t="s">
        <v>156</v>
      </c>
      <c r="K15" s="1082"/>
      <c r="L15" s="1082"/>
      <c r="M15" s="1082"/>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2"/>
      <c r="AM15" s="1083"/>
      <c r="AN15" s="169"/>
      <c r="AO15" s="121"/>
    </row>
    <row r="16" spans="1:47" ht="50.1" customHeight="1">
      <c r="A16" s="120"/>
      <c r="C16" s="1101"/>
      <c r="D16" s="1102"/>
      <c r="E16" s="1102"/>
      <c r="F16" s="1102"/>
      <c r="G16" s="1102"/>
      <c r="H16" s="1102"/>
      <c r="I16" s="1103"/>
      <c r="J16" s="1091"/>
      <c r="K16" s="1092"/>
      <c r="L16" s="1092"/>
      <c r="M16" s="1092"/>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3"/>
      <c r="AK16" s="1093"/>
      <c r="AL16" s="1093"/>
      <c r="AM16" s="1094"/>
      <c r="AN16" s="184"/>
      <c r="AO16" s="121"/>
    </row>
    <row r="17" spans="1:49" ht="50.1" customHeight="1" thickBot="1">
      <c r="A17" s="120"/>
      <c r="C17" s="1104"/>
      <c r="D17" s="1105"/>
      <c r="E17" s="1105"/>
      <c r="F17" s="1105"/>
      <c r="G17" s="1105"/>
      <c r="H17" s="1105"/>
      <c r="I17" s="1106"/>
      <c r="J17" s="1095"/>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6"/>
      <c r="AH17" s="1096"/>
      <c r="AI17" s="1096"/>
      <c r="AJ17" s="1096"/>
      <c r="AK17" s="1096"/>
      <c r="AL17" s="1096"/>
      <c r="AM17" s="1097"/>
      <c r="AN17" s="184"/>
      <c r="AO17" s="121"/>
    </row>
    <row r="18" spans="1:49">
      <c r="A18" s="120"/>
      <c r="AO18" s="121"/>
    </row>
    <row r="19" spans="1:49" ht="16.5" customHeight="1" thickBot="1">
      <c r="A19" s="120"/>
      <c r="C19" s="116" t="s">
        <v>547</v>
      </c>
      <c r="AP19" s="120"/>
    </row>
    <row r="20" spans="1:49" ht="100.15" customHeight="1" thickBot="1">
      <c r="A20" s="120"/>
      <c r="C20" s="714"/>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K20" s="715"/>
      <c r="AL20" s="715"/>
      <c r="AM20" s="716"/>
      <c r="AP20" s="120"/>
    </row>
    <row r="21" spans="1:49">
      <c r="A21" s="120"/>
      <c r="AP21" s="120"/>
    </row>
    <row r="22" spans="1:49" ht="16.5" customHeight="1" thickBot="1">
      <c r="A22" s="120"/>
      <c r="C22" s="116" t="s">
        <v>546</v>
      </c>
      <c r="AO22" s="121"/>
    </row>
    <row r="23" spans="1:49" ht="24" customHeight="1">
      <c r="A23" s="120"/>
      <c r="C23" s="427"/>
      <c r="D23" s="662" t="s">
        <v>232</v>
      </c>
      <c r="E23" s="662"/>
      <c r="F23" s="662"/>
      <c r="G23" s="662"/>
      <c r="H23" s="662"/>
      <c r="I23" s="662"/>
      <c r="J23" s="662"/>
      <c r="K23" s="662"/>
      <c r="L23" s="662"/>
      <c r="M23" s="662"/>
      <c r="N23" s="662"/>
      <c r="O23" s="428"/>
      <c r="P23" s="429"/>
      <c r="Q23" s="1119" t="s">
        <v>464</v>
      </c>
      <c r="R23" s="1119"/>
      <c r="S23" s="1119"/>
      <c r="T23" s="1119"/>
      <c r="U23" s="1119"/>
      <c r="V23" s="1119"/>
      <c r="W23" s="1119"/>
      <c r="X23" s="690" t="str">
        <f>その1!AD20</f>
        <v/>
      </c>
      <c r="Y23" s="690"/>
      <c r="Z23" s="690"/>
      <c r="AA23" s="690"/>
      <c r="AB23" s="690"/>
      <c r="AC23" s="690"/>
      <c r="AD23" s="690"/>
      <c r="AE23" s="690"/>
      <c r="AF23" s="690"/>
      <c r="AG23" s="690"/>
      <c r="AH23" s="690"/>
      <c r="AI23" s="690"/>
      <c r="AJ23" s="690"/>
      <c r="AK23" s="1120" t="s">
        <v>302</v>
      </c>
      <c r="AL23" s="1120"/>
      <c r="AM23" s="1121"/>
      <c r="AO23" s="121"/>
    </row>
    <row r="24" spans="1:49" ht="24" customHeight="1" thickBot="1">
      <c r="A24" s="120"/>
      <c r="C24" s="149"/>
      <c r="D24" s="686" t="s">
        <v>233</v>
      </c>
      <c r="E24" s="686"/>
      <c r="F24" s="686"/>
      <c r="G24" s="686"/>
      <c r="H24" s="686"/>
      <c r="I24" s="686"/>
      <c r="J24" s="686"/>
      <c r="K24" s="686"/>
      <c r="L24" s="686"/>
      <c r="M24" s="686"/>
      <c r="N24" s="686"/>
      <c r="O24" s="150"/>
      <c r="P24" s="154"/>
      <c r="Q24" s="697" t="s">
        <v>467</v>
      </c>
      <c r="R24" s="697"/>
      <c r="S24" s="697"/>
      <c r="T24" s="697"/>
      <c r="U24" s="697"/>
      <c r="V24" s="697"/>
      <c r="W24" s="697"/>
      <c r="X24" s="698">
        <f>'その5（非公表）'!M56</f>
        <v>0</v>
      </c>
      <c r="Y24" s="698"/>
      <c r="Z24" s="698"/>
      <c r="AA24" s="698"/>
      <c r="AB24" s="698"/>
      <c r="AC24" s="698"/>
      <c r="AD24" s="698"/>
      <c r="AE24" s="698"/>
      <c r="AF24" s="698"/>
      <c r="AG24" s="698"/>
      <c r="AH24" s="698"/>
      <c r="AI24" s="698"/>
      <c r="AJ24" s="698"/>
      <c r="AK24" s="1080" t="s">
        <v>150</v>
      </c>
      <c r="AL24" s="1080"/>
      <c r="AM24" s="1081"/>
      <c r="AO24" s="121"/>
    </row>
    <row r="25" spans="1:49" ht="12" customHeight="1">
      <c r="A25" s="120"/>
      <c r="AO25" s="121"/>
    </row>
    <row r="26" spans="1:49" ht="12.75" thickBot="1">
      <c r="A26" s="120"/>
      <c r="C26" s="116" t="s">
        <v>548</v>
      </c>
      <c r="AO26" s="121"/>
    </row>
    <row r="27" spans="1:49" ht="26.25" customHeight="1">
      <c r="A27" s="120"/>
      <c r="C27" s="129"/>
      <c r="D27" s="1107" t="s">
        <v>41</v>
      </c>
      <c r="E27" s="1107"/>
      <c r="F27" s="1107"/>
      <c r="G27" s="1107"/>
      <c r="H27" s="1107"/>
      <c r="I27" s="1107"/>
      <c r="J27" s="1107"/>
      <c r="K27" s="1107"/>
      <c r="L27" s="1107"/>
      <c r="M27" s="1107"/>
      <c r="N27" s="1107"/>
      <c r="O27" s="1107"/>
      <c r="P27" s="1107"/>
      <c r="Q27" s="130"/>
      <c r="R27" s="1108"/>
      <c r="S27" s="1109"/>
      <c r="T27" s="1109"/>
      <c r="U27" s="1109"/>
      <c r="V27" s="1109"/>
      <c r="W27" s="1109"/>
      <c r="X27" s="1109"/>
      <c r="Y27" s="1109"/>
      <c r="Z27" s="1109"/>
      <c r="AA27" s="1109"/>
      <c r="AB27" s="1109"/>
      <c r="AC27" s="1109"/>
      <c r="AD27" s="1109"/>
      <c r="AE27" s="1109"/>
      <c r="AF27" s="1109"/>
      <c r="AG27" s="1109"/>
      <c r="AH27" s="1109"/>
      <c r="AI27" s="1109"/>
      <c r="AJ27" s="1109"/>
      <c r="AK27" s="1109"/>
      <c r="AL27" s="1109"/>
      <c r="AM27" s="1110"/>
      <c r="AO27" s="121"/>
    </row>
    <row r="28" spans="1:49" ht="26.25" customHeight="1">
      <c r="A28" s="120"/>
      <c r="C28" s="430"/>
      <c r="D28" s="735" t="s">
        <v>42</v>
      </c>
      <c r="E28" s="735"/>
      <c r="F28" s="735"/>
      <c r="G28" s="735"/>
      <c r="H28" s="735"/>
      <c r="I28" s="735"/>
      <c r="J28" s="735"/>
      <c r="K28" s="735"/>
      <c r="L28" s="735"/>
      <c r="M28" s="735"/>
      <c r="N28" s="735"/>
      <c r="O28" s="735"/>
      <c r="P28" s="735"/>
      <c r="Q28" s="136"/>
      <c r="R28" s="1111"/>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3"/>
      <c r="AO28" s="121"/>
    </row>
    <row r="29" spans="1:49" ht="26.25" customHeight="1">
      <c r="A29" s="120"/>
      <c r="C29" s="431"/>
      <c r="D29" s="727" t="s">
        <v>43</v>
      </c>
      <c r="E29" s="727"/>
      <c r="F29" s="119"/>
      <c r="G29" s="135"/>
      <c r="H29" s="1115" t="s">
        <v>44</v>
      </c>
      <c r="I29" s="1115"/>
      <c r="J29" s="1115"/>
      <c r="K29" s="1115"/>
      <c r="L29" s="1115"/>
      <c r="M29" s="1115"/>
      <c r="N29" s="1115"/>
      <c r="O29" s="1115"/>
      <c r="P29" s="1115"/>
      <c r="Q29" s="432"/>
      <c r="R29" s="1111"/>
      <c r="S29" s="1112"/>
      <c r="T29" s="1112"/>
      <c r="U29" s="1112"/>
      <c r="V29" s="1112"/>
      <c r="W29" s="1112"/>
      <c r="X29" s="1112"/>
      <c r="Y29" s="1112"/>
      <c r="Z29" s="1112"/>
      <c r="AA29" s="1112"/>
      <c r="AB29" s="1112"/>
      <c r="AC29" s="1112"/>
      <c r="AD29" s="1112"/>
      <c r="AE29" s="1112"/>
      <c r="AF29" s="1112"/>
      <c r="AG29" s="1112"/>
      <c r="AH29" s="1112"/>
      <c r="AI29" s="1112"/>
      <c r="AJ29" s="1112"/>
      <c r="AK29" s="1112"/>
      <c r="AL29" s="1112"/>
      <c r="AM29" s="1113"/>
      <c r="AO29" s="121"/>
    </row>
    <row r="30" spans="1:49" ht="26.25" customHeight="1" thickBot="1">
      <c r="A30" s="120"/>
      <c r="C30" s="433"/>
      <c r="D30" s="1114"/>
      <c r="E30" s="1114"/>
      <c r="F30" s="434"/>
      <c r="G30" s="435"/>
      <c r="H30" s="745" t="s">
        <v>45</v>
      </c>
      <c r="I30" s="745"/>
      <c r="J30" s="745"/>
      <c r="K30" s="745"/>
      <c r="L30" s="745"/>
      <c r="M30" s="745"/>
      <c r="N30" s="745"/>
      <c r="O30" s="745"/>
      <c r="P30" s="745"/>
      <c r="Q30" s="436"/>
      <c r="R30" s="1116"/>
      <c r="S30" s="1117"/>
      <c r="T30" s="1117"/>
      <c r="U30" s="1117"/>
      <c r="V30" s="1117"/>
      <c r="W30" s="1117"/>
      <c r="X30" s="1117"/>
      <c r="Y30" s="1117"/>
      <c r="Z30" s="1117"/>
      <c r="AA30" s="1117"/>
      <c r="AB30" s="1117"/>
      <c r="AC30" s="1117"/>
      <c r="AD30" s="1117"/>
      <c r="AE30" s="1117"/>
      <c r="AF30" s="1117"/>
      <c r="AG30" s="1117"/>
      <c r="AH30" s="1117"/>
      <c r="AI30" s="1117"/>
      <c r="AJ30" s="1117"/>
      <c r="AK30" s="1117"/>
      <c r="AL30" s="1117"/>
      <c r="AM30" s="1118"/>
      <c r="AO30" s="121"/>
      <c r="AP30" s="125"/>
      <c r="AQ30" s="125"/>
      <c r="AR30" s="125"/>
      <c r="AS30" s="125"/>
      <c r="AT30" s="125"/>
      <c r="AU30" s="125"/>
      <c r="AV30" s="125"/>
      <c r="AW30" s="125"/>
    </row>
    <row r="31" spans="1:49" ht="12" customHeight="1">
      <c r="A31" s="120"/>
      <c r="C31" s="166"/>
      <c r="D31" s="166"/>
      <c r="E31" s="166"/>
      <c r="F31" s="166"/>
      <c r="G31" s="166"/>
      <c r="H31" s="166"/>
      <c r="I31" s="166"/>
      <c r="J31" s="166"/>
      <c r="K31" s="166"/>
      <c r="L31" s="166"/>
      <c r="M31" s="166"/>
      <c r="N31" s="166"/>
      <c r="O31" s="166"/>
      <c r="P31" s="166"/>
      <c r="Q31" s="166"/>
      <c r="R31" s="437"/>
      <c r="S31" s="437"/>
      <c r="T31" s="437"/>
      <c r="U31" s="437"/>
      <c r="V31" s="437"/>
      <c r="W31" s="437"/>
      <c r="X31" s="169"/>
      <c r="Y31" s="169"/>
      <c r="Z31" s="169"/>
      <c r="AA31" s="169"/>
      <c r="AB31" s="169"/>
      <c r="AC31" s="169"/>
      <c r="AD31" s="169"/>
      <c r="AE31" s="169"/>
      <c r="AF31" s="169"/>
      <c r="AG31" s="169"/>
      <c r="AH31" s="169"/>
      <c r="AI31" s="169"/>
      <c r="AJ31" s="169"/>
      <c r="AK31" s="169"/>
      <c r="AL31" s="169"/>
      <c r="AM31" s="169"/>
      <c r="AN31" s="169"/>
      <c r="AO31" s="121"/>
      <c r="AP31" s="125"/>
      <c r="AR31" s="125"/>
      <c r="AS31" s="125"/>
      <c r="AT31" s="125"/>
      <c r="AU31" s="125"/>
      <c r="AV31" s="125"/>
      <c r="AW31" s="125"/>
    </row>
    <row r="32" spans="1:49" ht="18" customHeight="1" thickBot="1">
      <c r="A32" s="120"/>
      <c r="C32" s="116" t="s">
        <v>549</v>
      </c>
      <c r="AO32" s="121"/>
    </row>
    <row r="33" spans="1:42" ht="19.5" customHeight="1">
      <c r="A33" s="120"/>
      <c r="C33" s="1041" t="s">
        <v>702</v>
      </c>
      <c r="D33" s="1042"/>
      <c r="E33" s="1042"/>
      <c r="F33" s="1042"/>
      <c r="G33" s="1042"/>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39" t="s">
        <v>105</v>
      </c>
      <c r="AD33" s="1039"/>
      <c r="AE33" s="1039"/>
      <c r="AF33" s="1040"/>
      <c r="AG33" s="1065">
        <v>1</v>
      </c>
      <c r="AH33" s="959"/>
      <c r="AI33" s="819"/>
      <c r="AJ33" s="821" t="s">
        <v>390</v>
      </c>
      <c r="AK33" s="822"/>
      <c r="AL33" s="822"/>
      <c r="AM33" s="823"/>
      <c r="AO33" s="121"/>
    </row>
    <row r="34" spans="1:42" ht="19.5" customHeight="1">
      <c r="A34" s="120"/>
      <c r="C34" s="1055" t="s">
        <v>449</v>
      </c>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70" t="s">
        <v>105</v>
      </c>
      <c r="AD34" s="1070"/>
      <c r="AE34" s="1070"/>
      <c r="AF34" s="1071"/>
      <c r="AG34" s="1064">
        <v>2</v>
      </c>
      <c r="AH34" s="679"/>
      <c r="AI34" s="680"/>
      <c r="AJ34" s="1057" t="s">
        <v>390</v>
      </c>
      <c r="AK34" s="1058"/>
      <c r="AL34" s="1058"/>
      <c r="AM34" s="1059"/>
      <c r="AO34" s="121"/>
    </row>
    <row r="35" spans="1:42" ht="19.5" customHeight="1">
      <c r="A35" s="120"/>
      <c r="C35" s="1066"/>
      <c r="D35" s="1067"/>
      <c r="E35" s="1067"/>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70" t="s">
        <v>105</v>
      </c>
      <c r="AD35" s="1070"/>
      <c r="AE35" s="1070"/>
      <c r="AF35" s="1071"/>
      <c r="AG35" s="712"/>
      <c r="AH35" s="1063"/>
      <c r="AI35" s="710"/>
      <c r="AJ35" s="1057" t="s">
        <v>106</v>
      </c>
      <c r="AK35" s="1058"/>
      <c r="AL35" s="1058"/>
      <c r="AM35" s="1059"/>
      <c r="AO35" s="121"/>
    </row>
    <row r="36" spans="1:42" ht="19.5" customHeight="1" thickBot="1">
      <c r="A36" s="120"/>
      <c r="C36" s="1068"/>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72" t="s">
        <v>105</v>
      </c>
      <c r="AD36" s="1072"/>
      <c r="AE36" s="1072"/>
      <c r="AF36" s="1073"/>
      <c r="AG36" s="1052"/>
      <c r="AH36" s="1053"/>
      <c r="AI36" s="1054"/>
      <c r="AJ36" s="1060" t="s">
        <v>106</v>
      </c>
      <c r="AK36" s="1061"/>
      <c r="AL36" s="1061"/>
      <c r="AM36" s="1062"/>
      <c r="AO36" s="121"/>
    </row>
    <row r="37" spans="1:42" s="439" customFormat="1" ht="13.5">
      <c r="A37" s="438"/>
      <c r="C37" s="1051" t="s">
        <v>107</v>
      </c>
      <c r="D37" s="1051"/>
      <c r="E37" s="1051"/>
      <c r="F37" s="1051"/>
      <c r="G37" s="1051"/>
      <c r="H37" s="1051"/>
      <c r="I37" s="1051"/>
      <c r="J37" s="1051"/>
      <c r="K37" s="1051"/>
      <c r="L37" s="1051"/>
      <c r="M37" s="1051"/>
      <c r="N37" s="1051"/>
      <c r="O37" s="1051"/>
      <c r="P37" s="1051"/>
      <c r="Q37" s="1051"/>
      <c r="R37" s="1051"/>
      <c r="S37" s="1051"/>
      <c r="T37" s="1051"/>
      <c r="U37" s="1051"/>
      <c r="V37" s="1051"/>
      <c r="W37" s="1051"/>
      <c r="X37" s="1051"/>
      <c r="Y37" s="1051"/>
      <c r="Z37" s="1051"/>
      <c r="AA37" s="1051"/>
      <c r="AB37" s="1051"/>
      <c r="AC37" s="1051"/>
      <c r="AD37" s="1051"/>
      <c r="AE37" s="1051"/>
      <c r="AF37" s="1051"/>
      <c r="AG37" s="1051"/>
      <c r="AH37" s="1051"/>
      <c r="AI37" s="1051"/>
      <c r="AJ37" s="1051"/>
      <c r="AK37" s="1051"/>
      <c r="AL37" s="1051"/>
      <c r="AM37" s="1051"/>
      <c r="AN37" s="440"/>
      <c r="AO37" s="441"/>
      <c r="AP37" s="440"/>
    </row>
    <row r="38" spans="1:42" s="439" customFormat="1" ht="13.5">
      <c r="A38" s="438"/>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1"/>
      <c r="AP38" s="440"/>
    </row>
    <row r="39" spans="1:42" ht="3" customHeight="1">
      <c r="A39" s="146"/>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8"/>
    </row>
    <row r="40" spans="1:42" ht="12" customHeight="1">
      <c r="C40" s="189"/>
      <c r="S40" s="442"/>
      <c r="V40" s="156"/>
      <c r="W40" s="156"/>
      <c r="X40" s="156"/>
      <c r="Y40" s="156"/>
      <c r="Z40" s="156"/>
      <c r="AA40" s="156"/>
      <c r="AB40" s="156"/>
      <c r="AC40" s="156"/>
      <c r="AD40" s="156"/>
      <c r="AE40" s="156"/>
      <c r="AF40" s="156"/>
      <c r="AG40" s="156"/>
      <c r="AH40" s="156"/>
      <c r="AI40" s="156"/>
      <c r="AJ40" s="156"/>
      <c r="AK40" s="156"/>
      <c r="AL40" s="156"/>
      <c r="AM40" s="156"/>
      <c r="AN40" s="156"/>
      <c r="AO40" s="237" t="s">
        <v>478</v>
      </c>
    </row>
    <row r="41" spans="1:42" ht="12" customHeight="1"/>
    <row r="42" spans="1:42" ht="12" customHeight="1"/>
  </sheetData>
  <sheetProtection algorithmName="SHA-512" hashValue="LFxNdv5izA/bdYixade9uHYPi5jMAbO23sAhgDFeq5iuGcP5Oqie8VY2B2RGmOZcveIEFl0KcFaj/VScth2CRg==" saltValue="oyBupS966gCBys2UbTE3Hg==" spinCount="100000" sheet="1" objects="1" scenarios="1" formatRows="0" selectLockedCells="1"/>
  <mergeCells count="70">
    <mergeCell ref="C20:AM20"/>
    <mergeCell ref="Q23:W23"/>
    <mergeCell ref="D24:N24"/>
    <mergeCell ref="Q24:W24"/>
    <mergeCell ref="AK23:AM23"/>
    <mergeCell ref="D27:P27"/>
    <mergeCell ref="R27:AM27"/>
    <mergeCell ref="D28:P28"/>
    <mergeCell ref="R28:AM28"/>
    <mergeCell ref="D29:E30"/>
    <mergeCell ref="H30:P30"/>
    <mergeCell ref="H29:P29"/>
    <mergeCell ref="R29:AM29"/>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66"/>
  <sheetViews>
    <sheetView showGridLines="0" view="pageBreakPreview" zoomScaleNormal="100" zoomScaleSheetLayoutView="100" workbookViewId="0">
      <selection activeCell="T21" sqref="T21"/>
    </sheetView>
  </sheetViews>
  <sheetFormatPr defaultColWidth="9" defaultRowHeight="13.5"/>
  <cols>
    <col min="1" max="1" width="0.5" style="241" customWidth="1"/>
    <col min="2" max="2" width="0.875" style="241" customWidth="1"/>
    <col min="3" max="3" width="1.5" style="241" customWidth="1"/>
    <col min="4" max="4" width="2.5" style="241" customWidth="1"/>
    <col min="5" max="5" width="2.375" style="241" customWidth="1"/>
    <col min="6" max="6" width="17.5" style="241" customWidth="1"/>
    <col min="7" max="8" width="2.375" style="241" customWidth="1"/>
    <col min="9" max="9" width="20.625" style="241" customWidth="1"/>
    <col min="10" max="10" width="2.375" style="241" customWidth="1"/>
    <col min="11" max="11" width="5" style="241" bestFit="1" customWidth="1"/>
    <col min="12" max="12" width="6.5" style="241" bestFit="1" customWidth="1"/>
    <col min="13" max="14" width="9.625" style="241" customWidth="1"/>
    <col min="15" max="15" width="12.125" style="241" bestFit="1" customWidth="1"/>
    <col min="16" max="16" width="9.625" style="445" customWidth="1"/>
    <col min="17" max="17" width="0.875" style="274" customWidth="1"/>
    <col min="18" max="18" width="0.5" style="274" customWidth="1"/>
    <col min="19" max="19" width="1.5" style="274" customWidth="1"/>
    <col min="20" max="20" width="9.125" style="274" customWidth="1"/>
    <col min="21" max="21" width="0.625" style="241" customWidth="1"/>
    <col min="22" max="22" width="9" style="241"/>
    <col min="23" max="23" width="13.75" style="241" hidden="1" customWidth="1"/>
    <col min="24" max="25" width="9" style="241" hidden="1" customWidth="1"/>
    <col min="26" max="26" width="9" style="241" customWidth="1"/>
    <col min="27" max="27" width="9" style="241"/>
    <col min="28" max="28" width="9" style="50"/>
    <col min="29" max="29" width="11.375" style="241" customWidth="1"/>
    <col min="30" max="16384" width="9" style="241"/>
  </cols>
  <sheetData>
    <row r="1" spans="1:28" ht="10.5" customHeight="1">
      <c r="A1" s="147"/>
      <c r="B1" s="147"/>
      <c r="C1" s="269"/>
      <c r="D1" s="270"/>
      <c r="E1" s="270"/>
      <c r="F1" s="270"/>
      <c r="G1" s="270"/>
      <c r="H1" s="270"/>
      <c r="I1" s="270"/>
      <c r="J1" s="270"/>
      <c r="K1" s="270"/>
      <c r="L1" s="270"/>
      <c r="M1" s="270"/>
      <c r="N1" s="270"/>
      <c r="O1" s="270"/>
      <c r="P1" s="443"/>
      <c r="Q1" s="271"/>
      <c r="R1" s="271"/>
    </row>
    <row r="2" spans="1:28" ht="3" customHeight="1">
      <c r="A2" s="117"/>
      <c r="B2" s="118"/>
      <c r="C2" s="243"/>
      <c r="D2" s="244"/>
      <c r="E2" s="244"/>
      <c r="F2" s="244"/>
      <c r="G2" s="244"/>
      <c r="H2" s="244"/>
      <c r="I2" s="244"/>
      <c r="J2" s="244"/>
      <c r="K2" s="244"/>
      <c r="L2" s="244"/>
      <c r="M2" s="244"/>
      <c r="N2" s="244"/>
      <c r="O2" s="244"/>
      <c r="P2" s="444"/>
      <c r="Q2" s="272"/>
      <c r="R2" s="273"/>
    </row>
    <row r="3" spans="1:28" ht="10.5" customHeight="1">
      <c r="A3" s="120"/>
      <c r="B3" s="116"/>
      <c r="C3" s="240"/>
      <c r="R3" s="275"/>
    </row>
    <row r="4" spans="1:28">
      <c r="A4" s="246"/>
      <c r="B4" s="240"/>
      <c r="C4" s="116" t="s">
        <v>714</v>
      </c>
      <c r="R4" s="275"/>
      <c r="Z4" s="50"/>
      <c r="AB4" s="241"/>
    </row>
    <row r="5" spans="1:28" ht="14.25" thickBot="1">
      <c r="A5" s="276"/>
      <c r="C5" s="264" t="s">
        <v>628</v>
      </c>
      <c r="D5" s="264"/>
      <c r="E5" s="264"/>
      <c r="I5" s="264"/>
      <c r="J5" s="264"/>
      <c r="L5" s="264"/>
      <c r="M5" s="264"/>
      <c r="R5" s="275"/>
      <c r="Z5" s="50"/>
      <c r="AB5" s="241"/>
    </row>
    <row r="6" spans="1:28" ht="13.5" customHeight="1">
      <c r="A6" s="276"/>
      <c r="C6" s="277"/>
      <c r="D6" s="971" t="s">
        <v>490</v>
      </c>
      <c r="E6" s="971"/>
      <c r="F6" s="971"/>
      <c r="G6" s="971"/>
      <c r="H6" s="971"/>
      <c r="I6" s="971"/>
      <c r="J6" s="278"/>
      <c r="K6" s="973" t="s">
        <v>103</v>
      </c>
      <c r="L6" s="975" t="s">
        <v>111</v>
      </c>
      <c r="M6" s="975"/>
      <c r="N6" s="976" t="s">
        <v>112</v>
      </c>
      <c r="O6" s="978" t="s">
        <v>113</v>
      </c>
      <c r="P6" s="979"/>
      <c r="Q6" s="279"/>
      <c r="R6" s="280"/>
      <c r="S6" s="279"/>
      <c r="T6" s="279"/>
      <c r="U6" s="281"/>
      <c r="V6" s="281"/>
      <c r="W6" s="282" t="s">
        <v>584</v>
      </c>
      <c r="X6" s="281"/>
      <c r="Y6" s="281"/>
      <c r="Z6" s="50"/>
      <c r="AB6" s="241"/>
    </row>
    <row r="7" spans="1:28" ht="22.5">
      <c r="A7" s="276"/>
      <c r="C7" s="283"/>
      <c r="D7" s="972"/>
      <c r="E7" s="972"/>
      <c r="F7" s="972"/>
      <c r="G7" s="972"/>
      <c r="H7" s="972"/>
      <c r="I7" s="972"/>
      <c r="J7" s="263"/>
      <c r="K7" s="974"/>
      <c r="L7" s="284" t="s">
        <v>114</v>
      </c>
      <c r="M7" s="285" t="s">
        <v>314</v>
      </c>
      <c r="N7" s="977"/>
      <c r="O7" s="286" t="s">
        <v>115</v>
      </c>
      <c r="P7" s="287" t="s">
        <v>116</v>
      </c>
      <c r="Q7" s="288"/>
      <c r="R7" s="289"/>
      <c r="S7" s="288"/>
      <c r="T7" s="288"/>
      <c r="U7" s="281"/>
      <c r="V7" s="281"/>
      <c r="W7" s="281" t="s">
        <v>583</v>
      </c>
      <c r="X7" s="290" t="s">
        <v>551</v>
      </c>
      <c r="Y7" s="290" t="s">
        <v>552</v>
      </c>
      <c r="Z7" s="446"/>
      <c r="AA7" s="51"/>
      <c r="AB7" s="241"/>
    </row>
    <row r="8" spans="1:28" ht="18" customHeight="1">
      <c r="A8" s="276"/>
      <c r="C8" s="999" t="s">
        <v>117</v>
      </c>
      <c r="D8" s="1134"/>
      <c r="E8" s="291"/>
      <c r="F8" s="970" t="s">
        <v>118</v>
      </c>
      <c r="G8" s="970"/>
      <c r="H8" s="970"/>
      <c r="I8" s="970"/>
      <c r="J8" s="292"/>
      <c r="K8" s="447" t="str">
        <f>'その5（非公表）'!K8&amp;""</f>
        <v/>
      </c>
      <c r="L8" s="293" t="s">
        <v>119</v>
      </c>
      <c r="M8" s="448">
        <f>'その5（非公表）'!M8</f>
        <v>0</v>
      </c>
      <c r="N8" s="448">
        <f>IF(M8="","",M8*38.2)</f>
        <v>0</v>
      </c>
      <c r="O8" s="449">
        <v>1.8700000000000001E-2</v>
      </c>
      <c r="P8" s="450">
        <f>IF(M8="","",N8*O8*44/12)</f>
        <v>0</v>
      </c>
      <c r="Q8" s="296"/>
      <c r="R8" s="297"/>
      <c r="S8" s="296"/>
      <c r="T8" s="296"/>
      <c r="W8" s="241" t="s">
        <v>556</v>
      </c>
      <c r="X8" s="298">
        <v>38.200000000000003</v>
      </c>
      <c r="Y8" s="298">
        <v>1.8700000000000001E-2</v>
      </c>
      <c r="AA8" s="50"/>
      <c r="AB8" s="241"/>
    </row>
    <row r="9" spans="1:28" ht="18" customHeight="1">
      <c r="A9" s="276"/>
      <c r="C9" s="1001"/>
      <c r="D9" s="1135"/>
      <c r="E9" s="291"/>
      <c r="F9" s="970" t="s">
        <v>120</v>
      </c>
      <c r="G9" s="970"/>
      <c r="H9" s="970"/>
      <c r="I9" s="970"/>
      <c r="J9" s="299"/>
      <c r="K9" s="447" t="str">
        <f>'その5（非公表）'!K9&amp;""</f>
        <v/>
      </c>
      <c r="L9" s="293" t="s">
        <v>119</v>
      </c>
      <c r="M9" s="448">
        <f>'その5（非公表）'!M9</f>
        <v>0</v>
      </c>
      <c r="N9" s="448">
        <f>IF(M9="","",M9*35.3)</f>
        <v>0</v>
      </c>
      <c r="O9" s="449">
        <v>1.84E-2</v>
      </c>
      <c r="P9" s="450">
        <f t="shared" ref="P9:P32" si="0">IF(M9="","",N9*O9*44/12)</f>
        <v>0</v>
      </c>
      <c r="Q9" s="296"/>
      <c r="R9" s="297"/>
      <c r="S9" s="296"/>
      <c r="T9" s="296"/>
      <c r="W9" s="241" t="s">
        <v>615</v>
      </c>
      <c r="X9" s="298">
        <v>35.299999999999997</v>
      </c>
      <c r="Y9" s="298">
        <v>1.84E-2</v>
      </c>
      <c r="AA9" s="50"/>
      <c r="AB9" s="241"/>
    </row>
    <row r="10" spans="1:28" ht="18" customHeight="1">
      <c r="A10" s="276"/>
      <c r="C10" s="1001"/>
      <c r="D10" s="1135"/>
      <c r="E10" s="291"/>
      <c r="F10" s="970" t="s">
        <v>121</v>
      </c>
      <c r="G10" s="970"/>
      <c r="H10" s="970"/>
      <c r="I10" s="970"/>
      <c r="J10" s="292"/>
      <c r="K10" s="447" t="str">
        <f>'その5（非公表）'!K10&amp;""</f>
        <v/>
      </c>
      <c r="L10" s="293" t="s">
        <v>119</v>
      </c>
      <c r="M10" s="448">
        <f>'その5（非公表）'!M10</f>
        <v>0</v>
      </c>
      <c r="N10" s="448">
        <f>IF(M10="","",M10*34.6)</f>
        <v>0</v>
      </c>
      <c r="O10" s="449">
        <v>1.83E-2</v>
      </c>
      <c r="P10" s="450">
        <f t="shared" si="0"/>
        <v>0</v>
      </c>
      <c r="Q10" s="296"/>
      <c r="R10" s="297"/>
      <c r="S10" s="296"/>
      <c r="T10" s="296"/>
      <c r="W10" s="241" t="s">
        <v>616</v>
      </c>
      <c r="X10" s="298">
        <v>34.6</v>
      </c>
      <c r="Y10" s="298">
        <v>1.83E-2</v>
      </c>
      <c r="AA10" s="50"/>
      <c r="AB10" s="241"/>
    </row>
    <row r="11" spans="1:28" ht="18" customHeight="1">
      <c r="A11" s="276"/>
      <c r="C11" s="1001"/>
      <c r="D11" s="1135"/>
      <c r="E11" s="291"/>
      <c r="F11" s="970" t="s">
        <v>122</v>
      </c>
      <c r="G11" s="970"/>
      <c r="H11" s="970"/>
      <c r="I11" s="970"/>
      <c r="J11" s="292"/>
      <c r="K11" s="447" t="str">
        <f>'その5（非公表）'!K11&amp;""</f>
        <v/>
      </c>
      <c r="L11" s="293" t="s">
        <v>119</v>
      </c>
      <c r="M11" s="448">
        <f>'その5（非公表）'!M11</f>
        <v>0</v>
      </c>
      <c r="N11" s="448">
        <f>IF(M11="","",M11*33.6)</f>
        <v>0</v>
      </c>
      <c r="O11" s="449">
        <v>1.8200000000000001E-2</v>
      </c>
      <c r="P11" s="450">
        <f t="shared" si="0"/>
        <v>0</v>
      </c>
      <c r="Q11" s="296"/>
      <c r="R11" s="297"/>
      <c r="S11" s="296"/>
      <c r="T11" s="296"/>
      <c r="W11" s="241" t="s">
        <v>557</v>
      </c>
      <c r="X11" s="298">
        <v>33.6</v>
      </c>
      <c r="Y11" s="298">
        <v>1.8200000000000001E-2</v>
      </c>
      <c r="AA11" s="50"/>
      <c r="AB11" s="241"/>
    </row>
    <row r="12" spans="1:28" ht="18" customHeight="1">
      <c r="A12" s="276"/>
      <c r="C12" s="1001"/>
      <c r="D12" s="1135"/>
      <c r="E12" s="291"/>
      <c r="F12" s="970" t="s">
        <v>521</v>
      </c>
      <c r="G12" s="970"/>
      <c r="H12" s="970"/>
      <c r="I12" s="970"/>
      <c r="J12" s="292"/>
      <c r="K12" s="447" t="str">
        <f>'その5（非公表）'!K12&amp;""</f>
        <v/>
      </c>
      <c r="L12" s="293" t="s">
        <v>119</v>
      </c>
      <c r="M12" s="448">
        <f>'その5（非公表）'!M12</f>
        <v>0</v>
      </c>
      <c r="N12" s="448">
        <f>IF(M12="","",M12*36.7)</f>
        <v>0</v>
      </c>
      <c r="O12" s="449">
        <v>1.83E-2</v>
      </c>
      <c r="P12" s="450">
        <f>IF(M12="","",N12*O12*44/12)</f>
        <v>0</v>
      </c>
      <c r="Q12" s="296"/>
      <c r="R12" s="297"/>
      <c r="S12" s="296"/>
      <c r="T12" s="296"/>
      <c r="W12" s="241" t="s">
        <v>617</v>
      </c>
      <c r="X12" s="298">
        <v>36.700000000000003</v>
      </c>
      <c r="Y12" s="298">
        <v>1.83E-2</v>
      </c>
      <c r="AA12" s="50"/>
      <c r="AB12" s="241"/>
    </row>
    <row r="13" spans="1:28" ht="18" customHeight="1">
      <c r="A13" s="276"/>
      <c r="C13" s="1001"/>
      <c r="D13" s="1135"/>
      <c r="E13" s="291"/>
      <c r="F13" s="970" t="s">
        <v>123</v>
      </c>
      <c r="G13" s="970"/>
      <c r="H13" s="970"/>
      <c r="I13" s="970"/>
      <c r="J13" s="292"/>
      <c r="K13" s="447" t="str">
        <f>'その5（非公表）'!K13&amp;""</f>
        <v/>
      </c>
      <c r="L13" s="293" t="s">
        <v>119</v>
      </c>
      <c r="M13" s="448">
        <f>'その5（非公表）'!M13</f>
        <v>0</v>
      </c>
      <c r="N13" s="448">
        <f>IF(M13="","",M13*36.7)</f>
        <v>0</v>
      </c>
      <c r="O13" s="449">
        <v>1.8499999999999999E-2</v>
      </c>
      <c r="P13" s="450">
        <f t="shared" si="0"/>
        <v>0</v>
      </c>
      <c r="Q13" s="296"/>
      <c r="R13" s="297"/>
      <c r="S13" s="296"/>
      <c r="T13" s="296"/>
      <c r="W13" s="241" t="s">
        <v>558</v>
      </c>
      <c r="X13" s="298">
        <v>36.700000000000003</v>
      </c>
      <c r="Y13" s="298">
        <v>1.8499999999999999E-2</v>
      </c>
      <c r="AA13" s="50"/>
      <c r="AB13" s="241"/>
    </row>
    <row r="14" spans="1:28" ht="18" customHeight="1">
      <c r="A14" s="276"/>
      <c r="C14" s="1001"/>
      <c r="D14" s="1135"/>
      <c r="E14" s="291"/>
      <c r="F14" s="970" t="s">
        <v>124</v>
      </c>
      <c r="G14" s="970"/>
      <c r="H14" s="970"/>
      <c r="I14" s="970"/>
      <c r="J14" s="292"/>
      <c r="K14" s="447" t="str">
        <f>'その5（非公表）'!K14&amp;""</f>
        <v/>
      </c>
      <c r="L14" s="293" t="s">
        <v>119</v>
      </c>
      <c r="M14" s="448">
        <f>'その5（非公表）'!M14</f>
        <v>0</v>
      </c>
      <c r="N14" s="448">
        <f>IF(M14="","",M14*37.7)</f>
        <v>0</v>
      </c>
      <c r="O14" s="449">
        <v>1.8700000000000001E-2</v>
      </c>
      <c r="P14" s="450">
        <f t="shared" si="0"/>
        <v>0</v>
      </c>
      <c r="Q14" s="296"/>
      <c r="R14" s="297"/>
      <c r="S14" s="296"/>
      <c r="T14" s="296"/>
      <c r="W14" s="241" t="s">
        <v>718</v>
      </c>
      <c r="X14" s="298">
        <v>37.700000000000003</v>
      </c>
      <c r="Y14" s="298">
        <v>1.8700000000000001E-2</v>
      </c>
      <c r="AA14" s="50"/>
      <c r="AB14" s="241"/>
    </row>
    <row r="15" spans="1:28" ht="18" customHeight="1">
      <c r="A15" s="276"/>
      <c r="C15" s="1001"/>
      <c r="D15" s="1135"/>
      <c r="E15" s="291"/>
      <c r="F15" s="970" t="s">
        <v>125</v>
      </c>
      <c r="G15" s="970"/>
      <c r="H15" s="970"/>
      <c r="I15" s="970"/>
      <c r="J15" s="292"/>
      <c r="K15" s="447" t="str">
        <f>'その5（非公表）'!K15&amp;""</f>
        <v/>
      </c>
      <c r="L15" s="293" t="s">
        <v>119</v>
      </c>
      <c r="M15" s="448">
        <f>'その5（非公表）'!M15</f>
        <v>0</v>
      </c>
      <c r="N15" s="448">
        <f>IF(M15="","",M15*39.1)</f>
        <v>0</v>
      </c>
      <c r="O15" s="449">
        <v>1.89E-2</v>
      </c>
      <c r="P15" s="450">
        <f t="shared" si="0"/>
        <v>0</v>
      </c>
      <c r="Q15" s="296"/>
      <c r="R15" s="297"/>
      <c r="S15" s="296"/>
      <c r="T15" s="296"/>
      <c r="W15" s="241" t="s">
        <v>560</v>
      </c>
      <c r="X15" s="298">
        <v>39.1</v>
      </c>
      <c r="Y15" s="298">
        <v>1.89E-2</v>
      </c>
      <c r="AA15" s="50"/>
      <c r="AB15" s="241"/>
    </row>
    <row r="16" spans="1:28" ht="18" customHeight="1">
      <c r="A16" s="276"/>
      <c r="C16" s="1001"/>
      <c r="D16" s="1135"/>
      <c r="E16" s="291"/>
      <c r="F16" s="970" t="s">
        <v>126</v>
      </c>
      <c r="G16" s="970"/>
      <c r="H16" s="970"/>
      <c r="I16" s="970"/>
      <c r="J16" s="292"/>
      <c r="K16" s="447" t="str">
        <f>'その5（非公表）'!K16&amp;""</f>
        <v/>
      </c>
      <c r="L16" s="293" t="s">
        <v>119</v>
      </c>
      <c r="M16" s="448">
        <f>'その5（非公表）'!M16</f>
        <v>0</v>
      </c>
      <c r="N16" s="448">
        <f>IF(M16="","",M16*41.9)</f>
        <v>0</v>
      </c>
      <c r="O16" s="449">
        <v>1.95E-2</v>
      </c>
      <c r="P16" s="450">
        <f t="shared" si="0"/>
        <v>0</v>
      </c>
      <c r="Q16" s="296"/>
      <c r="R16" s="297"/>
      <c r="S16" s="296"/>
      <c r="T16" s="296"/>
      <c r="W16" s="241" t="s">
        <v>561</v>
      </c>
      <c r="X16" s="298">
        <v>41.9</v>
      </c>
      <c r="Y16" s="298">
        <v>1.95E-2</v>
      </c>
      <c r="AA16" s="50"/>
      <c r="AB16" s="241"/>
    </row>
    <row r="17" spans="1:29" ht="18" customHeight="1">
      <c r="A17" s="276"/>
      <c r="C17" s="1001"/>
      <c r="D17" s="1135"/>
      <c r="E17" s="291"/>
      <c r="F17" s="970" t="s">
        <v>522</v>
      </c>
      <c r="G17" s="970"/>
      <c r="H17" s="970"/>
      <c r="I17" s="970"/>
      <c r="J17" s="292"/>
      <c r="K17" s="447" t="str">
        <f>'その5（非公表）'!K17&amp;""</f>
        <v/>
      </c>
      <c r="L17" s="293" t="s">
        <v>119</v>
      </c>
      <c r="M17" s="448">
        <f>'その5（非公表）'!M17</f>
        <v>0</v>
      </c>
      <c r="N17" s="448">
        <f>IF(M17="","",M17*40.2)</f>
        <v>0</v>
      </c>
      <c r="O17" s="449">
        <v>1.9900000000000001E-2</v>
      </c>
      <c r="P17" s="450">
        <f t="shared" si="0"/>
        <v>0</v>
      </c>
      <c r="Q17" s="296"/>
      <c r="R17" s="297"/>
      <c r="S17" s="296"/>
      <c r="T17" s="296"/>
      <c r="W17" s="241" t="s">
        <v>618</v>
      </c>
      <c r="X17" s="298">
        <v>40.200000000000003</v>
      </c>
      <c r="Y17" s="298">
        <v>1.9900000000000001E-2</v>
      </c>
      <c r="AA17" s="50"/>
      <c r="AB17" s="241"/>
    </row>
    <row r="18" spans="1:29" ht="18" customHeight="1">
      <c r="A18" s="276"/>
      <c r="C18" s="1001"/>
      <c r="D18" s="1135"/>
      <c r="E18" s="291"/>
      <c r="F18" s="970" t="s">
        <v>127</v>
      </c>
      <c r="G18" s="970"/>
      <c r="H18" s="970"/>
      <c r="I18" s="970"/>
      <c r="J18" s="292"/>
      <c r="K18" s="447" t="str">
        <f>'その5（非公表）'!K18&amp;""</f>
        <v/>
      </c>
      <c r="L18" s="293" t="s">
        <v>128</v>
      </c>
      <c r="M18" s="448">
        <f>'その5（非公表）'!M18</f>
        <v>0</v>
      </c>
      <c r="N18" s="448">
        <f>IF(M18="","",M18*40.9)</f>
        <v>0</v>
      </c>
      <c r="O18" s="449">
        <v>2.0799999999999999E-2</v>
      </c>
      <c r="P18" s="450">
        <f t="shared" si="0"/>
        <v>0</v>
      </c>
      <c r="Q18" s="296"/>
      <c r="R18" s="297"/>
      <c r="S18" s="296"/>
      <c r="T18" s="296"/>
      <c r="W18" s="241" t="s">
        <v>562</v>
      </c>
      <c r="X18" s="298">
        <v>40.9</v>
      </c>
      <c r="Y18" s="298">
        <v>2.0799999999999999E-2</v>
      </c>
      <c r="AB18" s="241"/>
      <c r="AC18" s="50"/>
    </row>
    <row r="19" spans="1:29" ht="18" customHeight="1">
      <c r="A19" s="276"/>
      <c r="C19" s="1001"/>
      <c r="D19" s="1135"/>
      <c r="E19" s="300"/>
      <c r="F19" s="984" t="s">
        <v>545</v>
      </c>
      <c r="G19" s="970"/>
      <c r="H19" s="970"/>
      <c r="I19" s="970"/>
      <c r="J19" s="292"/>
      <c r="K19" s="447" t="str">
        <f>'その5（非公表）'!K19&amp;""</f>
        <v/>
      </c>
      <c r="L19" s="293" t="s">
        <v>128</v>
      </c>
      <c r="M19" s="448">
        <f>'その5（非公表）'!M19</f>
        <v>0</v>
      </c>
      <c r="N19" s="448">
        <f>IF(M19="","",M19*29.9)</f>
        <v>0</v>
      </c>
      <c r="O19" s="449">
        <v>2.5399999999999999E-2</v>
      </c>
      <c r="P19" s="450">
        <f>IF(M19="","",N19*O19*44/12)</f>
        <v>0</v>
      </c>
      <c r="Q19" s="296"/>
      <c r="R19" s="297"/>
      <c r="S19" s="296"/>
      <c r="T19" s="296"/>
      <c r="W19" s="241" t="s">
        <v>619</v>
      </c>
      <c r="X19" s="298">
        <v>29.9</v>
      </c>
      <c r="Y19" s="298">
        <v>2.5399999999999999E-2</v>
      </c>
      <c r="AB19" s="241"/>
      <c r="AC19" s="50"/>
    </row>
    <row r="20" spans="1:29" ht="18" customHeight="1" thickBot="1">
      <c r="A20" s="276"/>
      <c r="C20" s="1001"/>
      <c r="D20" s="1135"/>
      <c r="E20" s="980"/>
      <c r="F20" s="970" t="s">
        <v>129</v>
      </c>
      <c r="G20" s="301"/>
      <c r="H20" s="302"/>
      <c r="I20" s="303" t="s">
        <v>130</v>
      </c>
      <c r="J20" s="292"/>
      <c r="K20" s="447" t="str">
        <f>'その5（非公表）'!K20&amp;""</f>
        <v/>
      </c>
      <c r="L20" s="293" t="s">
        <v>128</v>
      </c>
      <c r="M20" s="448">
        <f>'その5（非公表）'!M20</f>
        <v>0</v>
      </c>
      <c r="N20" s="448">
        <f>IF(M20="","",M20*50.8)</f>
        <v>0</v>
      </c>
      <c r="O20" s="449">
        <v>1.61E-2</v>
      </c>
      <c r="P20" s="450">
        <f t="shared" si="0"/>
        <v>0</v>
      </c>
      <c r="Q20" s="296"/>
      <c r="R20" s="297"/>
      <c r="S20" s="296"/>
      <c r="T20" s="296"/>
      <c r="W20" s="241" t="s">
        <v>620</v>
      </c>
      <c r="X20" s="298">
        <v>50.8</v>
      </c>
      <c r="Y20" s="298">
        <v>1.61E-2</v>
      </c>
      <c r="AB20" s="241"/>
      <c r="AC20" s="50"/>
    </row>
    <row r="21" spans="1:29" ht="18" customHeight="1" thickBot="1">
      <c r="A21" s="276"/>
      <c r="C21" s="1001"/>
      <c r="D21" s="1135"/>
      <c r="E21" s="981"/>
      <c r="F21" s="970"/>
      <c r="G21" s="263"/>
      <c r="H21" s="302"/>
      <c r="I21" s="303" t="s">
        <v>131</v>
      </c>
      <c r="J21" s="292"/>
      <c r="K21" s="447" t="str">
        <f>'その5（非公表）'!K21&amp;""</f>
        <v/>
      </c>
      <c r="L21" s="284" t="s">
        <v>719</v>
      </c>
      <c r="M21" s="448">
        <f>'その5（非公表）'!M21*T21</f>
        <v>0</v>
      </c>
      <c r="N21" s="448">
        <f>IF(M21="","",M21*44.9)</f>
        <v>0</v>
      </c>
      <c r="O21" s="449">
        <v>1.4200000000000001E-2</v>
      </c>
      <c r="P21" s="450">
        <f t="shared" si="0"/>
        <v>0</v>
      </c>
      <c r="Q21" s="296"/>
      <c r="R21" s="297"/>
      <c r="S21" s="296"/>
      <c r="T21" s="509"/>
      <c r="V21" s="451" t="s">
        <v>720</v>
      </c>
      <c r="W21" s="241" t="s">
        <v>563</v>
      </c>
      <c r="X21" s="298">
        <v>44.9</v>
      </c>
      <c r="Y21" s="298">
        <v>1.4200000000000001E-2</v>
      </c>
      <c r="AB21" s="241"/>
      <c r="AC21" s="50"/>
    </row>
    <row r="22" spans="1:29" ht="18" customHeight="1" thickBot="1">
      <c r="A22" s="276"/>
      <c r="C22" s="1001"/>
      <c r="D22" s="1135"/>
      <c r="E22" s="980"/>
      <c r="F22" s="982" t="s">
        <v>132</v>
      </c>
      <c r="G22" s="304"/>
      <c r="H22" s="305"/>
      <c r="I22" s="303" t="s">
        <v>133</v>
      </c>
      <c r="J22" s="292"/>
      <c r="K22" s="447" t="str">
        <f>'その5（非公表）'!K22&amp;""</f>
        <v/>
      </c>
      <c r="L22" s="293" t="s">
        <v>128</v>
      </c>
      <c r="M22" s="448">
        <f>'その5（非公表）'!M22</f>
        <v>0</v>
      </c>
      <c r="N22" s="448">
        <f>IF(M22="","",M22*54.6)</f>
        <v>0</v>
      </c>
      <c r="O22" s="449">
        <v>1.35E-2</v>
      </c>
      <c r="P22" s="450">
        <f t="shared" si="0"/>
        <v>0</v>
      </c>
      <c r="Q22" s="296"/>
      <c r="R22" s="297"/>
      <c r="S22" s="296"/>
      <c r="T22" s="241"/>
      <c r="W22" s="241" t="s">
        <v>621</v>
      </c>
      <c r="X22" s="298">
        <v>54.6</v>
      </c>
      <c r="Y22" s="298">
        <v>1.35E-2</v>
      </c>
      <c r="AB22" s="241"/>
      <c r="AC22" s="50"/>
    </row>
    <row r="23" spans="1:29" ht="18" customHeight="1" thickBot="1">
      <c r="A23" s="276"/>
      <c r="C23" s="1001"/>
      <c r="D23" s="1135"/>
      <c r="E23" s="981"/>
      <c r="F23" s="982"/>
      <c r="G23" s="306"/>
      <c r="H23" s="1122" t="s">
        <v>134</v>
      </c>
      <c r="I23" s="1123"/>
      <c r="J23" s="1124"/>
      <c r="K23" s="447" t="str">
        <f>'その5（非公表）'!K23&amp;""</f>
        <v/>
      </c>
      <c r="L23" s="284" t="s">
        <v>719</v>
      </c>
      <c r="M23" s="448">
        <f>'その5（非公表）'!M23*T23</f>
        <v>0</v>
      </c>
      <c r="N23" s="448">
        <f>IF(M23="","",M23*43.5)</f>
        <v>0</v>
      </c>
      <c r="O23" s="449">
        <v>1.3899999999999999E-2</v>
      </c>
      <c r="P23" s="450">
        <f t="shared" si="0"/>
        <v>0</v>
      </c>
      <c r="Q23" s="296"/>
      <c r="R23" s="297"/>
      <c r="S23" s="296"/>
      <c r="T23" s="509"/>
      <c r="V23" s="451" t="s">
        <v>721</v>
      </c>
      <c r="W23" s="241" t="s">
        <v>564</v>
      </c>
      <c r="X23" s="298">
        <v>43.5</v>
      </c>
      <c r="Y23" s="298">
        <v>1.3899999999999999E-2</v>
      </c>
      <c r="AB23" s="241"/>
      <c r="AC23" s="50"/>
    </row>
    <row r="24" spans="1:29" ht="18" customHeight="1">
      <c r="A24" s="276"/>
      <c r="C24" s="1001"/>
      <c r="D24" s="1135"/>
      <c r="E24" s="980"/>
      <c r="F24" s="984" t="s">
        <v>135</v>
      </c>
      <c r="G24" s="301"/>
      <c r="H24" s="302"/>
      <c r="I24" s="308" t="s">
        <v>553</v>
      </c>
      <c r="J24" s="292"/>
      <c r="K24" s="447" t="str">
        <f>IF(OR('その5（非公表）'!K24="○",'その5（非公表）'!K25="○",'その5（非公表）'!K26="○"),"○","")</f>
        <v/>
      </c>
      <c r="L24" s="293" t="s">
        <v>128</v>
      </c>
      <c r="M24" s="448">
        <f>SUM('その5（非公表）'!N24:N26)</f>
        <v>0</v>
      </c>
      <c r="N24" s="294">
        <f>IF(M24="","",M24*29)</f>
        <v>0</v>
      </c>
      <c r="O24" s="449">
        <v>2.4500000000000001E-2</v>
      </c>
      <c r="P24" s="450">
        <f t="shared" si="0"/>
        <v>0</v>
      </c>
      <c r="Q24" s="296"/>
      <c r="R24" s="297"/>
      <c r="S24" s="296"/>
      <c r="T24" s="241"/>
      <c r="W24" s="241" t="s">
        <v>565</v>
      </c>
      <c r="X24" s="298">
        <v>29</v>
      </c>
      <c r="Y24" s="298">
        <v>2.4500000000000001E-2</v>
      </c>
      <c r="AB24" s="241"/>
      <c r="AC24" s="50"/>
    </row>
    <row r="25" spans="1:29" ht="18" customHeight="1">
      <c r="A25" s="276"/>
      <c r="C25" s="1001"/>
      <c r="D25" s="1135"/>
      <c r="E25" s="983"/>
      <c r="F25" s="985"/>
      <c r="G25" s="309"/>
      <c r="H25" s="302"/>
      <c r="I25" s="308" t="s">
        <v>554</v>
      </c>
      <c r="J25" s="292"/>
      <c r="K25" s="447" t="str">
        <f>IF(OR('その5（非公表）'!K27="○",'その5（非公表）'!K28="○"),"○","")</f>
        <v/>
      </c>
      <c r="L25" s="293" t="s">
        <v>128</v>
      </c>
      <c r="M25" s="448">
        <f>SUM('その5（非公表）'!N27:N28)</f>
        <v>0</v>
      </c>
      <c r="N25" s="294">
        <f>IF(M25="","",M25*25.7)</f>
        <v>0</v>
      </c>
      <c r="O25" s="449">
        <v>2.47E-2</v>
      </c>
      <c r="P25" s="450">
        <f t="shared" si="0"/>
        <v>0</v>
      </c>
      <c r="Q25" s="296"/>
      <c r="R25" s="297"/>
      <c r="S25" s="296"/>
      <c r="T25" s="241"/>
      <c r="W25" s="241" t="s">
        <v>568</v>
      </c>
      <c r="X25" s="298">
        <v>25.7</v>
      </c>
      <c r="Y25" s="298">
        <v>2.47E-2</v>
      </c>
      <c r="AB25" s="241"/>
      <c r="AC25" s="50"/>
    </row>
    <row r="26" spans="1:29" ht="18" customHeight="1">
      <c r="A26" s="276"/>
      <c r="C26" s="1001"/>
      <c r="D26" s="1135"/>
      <c r="E26" s="983"/>
      <c r="F26" s="985"/>
      <c r="G26" s="309"/>
      <c r="H26" s="302"/>
      <c r="I26" s="308" t="s">
        <v>555</v>
      </c>
      <c r="J26" s="292"/>
      <c r="K26" s="447" t="str">
        <f>'その5（非公表）'!K29&amp;""</f>
        <v/>
      </c>
      <c r="L26" s="293" t="s">
        <v>128</v>
      </c>
      <c r="M26" s="448">
        <f>'その5（非公表）'!M29</f>
        <v>0</v>
      </c>
      <c r="N26" s="294">
        <f>IF(M26="","",M26*26.9)</f>
        <v>0</v>
      </c>
      <c r="O26" s="449">
        <v>2.5499999999999998E-2</v>
      </c>
      <c r="P26" s="450">
        <f t="shared" si="0"/>
        <v>0</v>
      </c>
      <c r="Q26" s="296"/>
      <c r="R26" s="297"/>
      <c r="S26" s="296"/>
      <c r="T26" s="241"/>
      <c r="W26" s="241" t="s">
        <v>571</v>
      </c>
      <c r="X26" s="298">
        <v>26.9</v>
      </c>
      <c r="Y26" s="298">
        <v>2.5499999999999998E-2</v>
      </c>
      <c r="AB26" s="241"/>
      <c r="AC26" s="50"/>
    </row>
    <row r="27" spans="1:29" ht="18" customHeight="1">
      <c r="A27" s="276"/>
      <c r="C27" s="1001"/>
      <c r="D27" s="1135"/>
      <c r="E27" s="291"/>
      <c r="F27" s="970" t="s">
        <v>136</v>
      </c>
      <c r="G27" s="970"/>
      <c r="H27" s="970"/>
      <c r="I27" s="970"/>
      <c r="J27" s="292"/>
      <c r="K27" s="447" t="str">
        <f>'その5（非公表）'!K30&amp;""</f>
        <v/>
      </c>
      <c r="L27" s="293" t="s">
        <v>128</v>
      </c>
      <c r="M27" s="448">
        <f>'その5（非公表）'!M30</f>
        <v>0</v>
      </c>
      <c r="N27" s="448">
        <f>IF(M27="","",M27*29.4)</f>
        <v>0</v>
      </c>
      <c r="O27" s="449">
        <v>2.9399999999999999E-2</v>
      </c>
      <c r="P27" s="450">
        <f t="shared" si="0"/>
        <v>0</v>
      </c>
      <c r="Q27" s="296"/>
      <c r="R27" s="297"/>
      <c r="S27" s="296"/>
      <c r="T27" s="241"/>
      <c r="W27" s="241" t="s">
        <v>572</v>
      </c>
      <c r="X27" s="298">
        <v>29.4</v>
      </c>
      <c r="Y27" s="298">
        <v>2.9399999999999999E-2</v>
      </c>
      <c r="AB27" s="241"/>
      <c r="AC27" s="50"/>
    </row>
    <row r="28" spans="1:29" ht="18" customHeight="1" thickBot="1">
      <c r="A28" s="276"/>
      <c r="C28" s="1001"/>
      <c r="D28" s="1135"/>
      <c r="E28" s="291"/>
      <c r="F28" s="970" t="s">
        <v>137</v>
      </c>
      <c r="G28" s="970"/>
      <c r="H28" s="970"/>
      <c r="I28" s="970"/>
      <c r="J28" s="292"/>
      <c r="K28" s="447" t="str">
        <f>'その5（非公表）'!K31&amp;""</f>
        <v/>
      </c>
      <c r="L28" s="293" t="s">
        <v>128</v>
      </c>
      <c r="M28" s="448">
        <f>'その5（非公表）'!M31</f>
        <v>0</v>
      </c>
      <c r="N28" s="448">
        <f>IF(M28="","",M28*37.3)</f>
        <v>0</v>
      </c>
      <c r="O28" s="449">
        <v>2.0899999999999998E-2</v>
      </c>
      <c r="P28" s="450">
        <f t="shared" si="0"/>
        <v>0</v>
      </c>
      <c r="Q28" s="296"/>
      <c r="R28" s="297"/>
      <c r="S28" s="296"/>
      <c r="T28" s="241"/>
      <c r="W28" s="241" t="s">
        <v>573</v>
      </c>
      <c r="X28" s="298">
        <v>37.299999999999997</v>
      </c>
      <c r="Y28" s="298">
        <v>2.0899999999999998E-2</v>
      </c>
      <c r="AB28" s="241"/>
      <c r="AC28" s="50"/>
    </row>
    <row r="29" spans="1:29" ht="18" customHeight="1" thickBot="1">
      <c r="A29" s="276"/>
      <c r="C29" s="1001"/>
      <c r="D29" s="1135"/>
      <c r="E29" s="291"/>
      <c r="F29" s="970" t="s">
        <v>138</v>
      </c>
      <c r="G29" s="970"/>
      <c r="H29" s="970"/>
      <c r="I29" s="970"/>
      <c r="J29" s="292"/>
      <c r="K29" s="447" t="str">
        <f>'その5（非公表）'!K32&amp;""</f>
        <v/>
      </c>
      <c r="L29" s="284" t="s">
        <v>719</v>
      </c>
      <c r="M29" s="448">
        <f>'その5（非公表）'!M32*T29</f>
        <v>0</v>
      </c>
      <c r="N29" s="448">
        <f>IF(M29="","",M29*21.1)</f>
        <v>0</v>
      </c>
      <c r="O29" s="449">
        <v>1.0999999999999999E-2</v>
      </c>
      <c r="P29" s="450">
        <f t="shared" si="0"/>
        <v>0</v>
      </c>
      <c r="Q29" s="296"/>
      <c r="R29" s="297"/>
      <c r="S29" s="296"/>
      <c r="T29" s="509"/>
      <c r="V29" s="451" t="s">
        <v>722</v>
      </c>
      <c r="W29" s="241" t="s">
        <v>574</v>
      </c>
      <c r="X29" s="298">
        <v>21.1</v>
      </c>
      <c r="Y29" s="298">
        <v>1.0999999999999999E-2</v>
      </c>
      <c r="AB29" s="241"/>
      <c r="AC29" s="50"/>
    </row>
    <row r="30" spans="1:29" ht="18" customHeight="1" thickBot="1">
      <c r="A30" s="276"/>
      <c r="C30" s="1001"/>
      <c r="D30" s="1135"/>
      <c r="E30" s="291"/>
      <c r="F30" s="970" t="s">
        <v>139</v>
      </c>
      <c r="G30" s="970"/>
      <c r="H30" s="970"/>
      <c r="I30" s="970"/>
      <c r="J30" s="292"/>
      <c r="K30" s="447" t="str">
        <f>'その5（非公表）'!K33&amp;""</f>
        <v/>
      </c>
      <c r="L30" s="284" t="s">
        <v>719</v>
      </c>
      <c r="M30" s="448">
        <f>'その5（非公表）'!M33*T30</f>
        <v>0</v>
      </c>
      <c r="N30" s="448">
        <f>IF(M30="","",M30*3.41)</f>
        <v>0</v>
      </c>
      <c r="O30" s="449">
        <v>2.63E-2</v>
      </c>
      <c r="P30" s="450">
        <f t="shared" si="0"/>
        <v>0</v>
      </c>
      <c r="Q30" s="296"/>
      <c r="R30" s="297"/>
      <c r="S30" s="296"/>
      <c r="T30" s="509"/>
      <c r="V30" s="451" t="s">
        <v>723</v>
      </c>
      <c r="W30" s="241" t="s">
        <v>575</v>
      </c>
      <c r="X30" s="298">
        <v>3.41</v>
      </c>
      <c r="Y30" s="298">
        <v>2.63E-2</v>
      </c>
      <c r="Z30"/>
      <c r="AA30"/>
      <c r="AB30"/>
      <c r="AC30" s="50"/>
    </row>
    <row r="31" spans="1:29" ht="18" customHeight="1" thickBot="1">
      <c r="A31" s="276"/>
      <c r="C31" s="1001"/>
      <c r="D31" s="1135"/>
      <c r="E31" s="291"/>
      <c r="F31" s="970" t="s">
        <v>530</v>
      </c>
      <c r="G31" s="970"/>
      <c r="H31" s="970"/>
      <c r="I31" s="970"/>
      <c r="J31" s="292"/>
      <c r="K31" s="447" t="str">
        <f>'その5（非公表）'!K34&amp;""</f>
        <v/>
      </c>
      <c r="L31" s="284" t="s">
        <v>719</v>
      </c>
      <c r="M31" s="448">
        <f>'その5（非公表）'!M34*T31</f>
        <v>0</v>
      </c>
      <c r="N31" s="448">
        <f>IF(M31="","",M31*3.45)</f>
        <v>0</v>
      </c>
      <c r="O31" s="449">
        <v>2.64E-2</v>
      </c>
      <c r="P31" s="450">
        <f t="shared" si="0"/>
        <v>0</v>
      </c>
      <c r="Q31" s="296"/>
      <c r="R31" s="297"/>
      <c r="S31" s="296"/>
      <c r="T31" s="509"/>
      <c r="V31" s="451" t="s">
        <v>724</v>
      </c>
      <c r="W31" s="241" t="s">
        <v>576</v>
      </c>
      <c r="X31" s="298">
        <v>3.45</v>
      </c>
      <c r="Y31" s="298">
        <v>2.64E-2</v>
      </c>
      <c r="Z31"/>
      <c r="AA31"/>
      <c r="AB31"/>
      <c r="AC31" s="50"/>
    </row>
    <row r="32" spans="1:29" ht="18" customHeight="1" thickBot="1">
      <c r="A32" s="276"/>
      <c r="C32" s="1001"/>
      <c r="D32" s="1135"/>
      <c r="E32" s="291"/>
      <c r="F32" s="970" t="s">
        <v>140</v>
      </c>
      <c r="G32" s="970"/>
      <c r="H32" s="970"/>
      <c r="I32" s="970"/>
      <c r="J32" s="292"/>
      <c r="K32" s="447" t="str">
        <f>'その5（非公表）'!K35&amp;""</f>
        <v/>
      </c>
      <c r="L32" s="284" t="s">
        <v>719</v>
      </c>
      <c r="M32" s="448">
        <f>'その5（非公表）'!M35*T32</f>
        <v>0</v>
      </c>
      <c r="N32" s="448">
        <f>IF(M32="","",M32*8.41)</f>
        <v>0</v>
      </c>
      <c r="O32" s="449">
        <v>3.8399999999999997E-2</v>
      </c>
      <c r="P32" s="450">
        <f t="shared" si="0"/>
        <v>0</v>
      </c>
      <c r="Q32" s="296"/>
      <c r="R32" s="297"/>
      <c r="S32" s="296"/>
      <c r="T32" s="509"/>
      <c r="V32" s="451" t="s">
        <v>725</v>
      </c>
      <c r="W32" s="241" t="s">
        <v>577</v>
      </c>
      <c r="X32" s="298">
        <v>8.41</v>
      </c>
      <c r="Y32" s="298">
        <v>3.8399999999999997E-2</v>
      </c>
      <c r="Z32"/>
      <c r="AA32"/>
      <c r="AB32"/>
      <c r="AC32" s="50"/>
    </row>
    <row r="33" spans="1:29" ht="18" customHeight="1">
      <c r="A33" s="276"/>
      <c r="C33" s="1001"/>
      <c r="D33" s="1135"/>
      <c r="E33" s="300"/>
      <c r="F33" s="970" t="s">
        <v>713</v>
      </c>
      <c r="G33" s="970"/>
      <c r="H33" s="970"/>
      <c r="I33" s="970"/>
      <c r="J33" s="292"/>
      <c r="K33" s="447" t="str">
        <f>'その5（非公表）'!K36&amp;""</f>
        <v/>
      </c>
      <c r="L33" s="284" t="s">
        <v>719</v>
      </c>
      <c r="M33" s="448">
        <f>'その5（非公表）'!M36*0.967</f>
        <v>0</v>
      </c>
      <c r="N33" s="448">
        <f>IF(M33="","",M33*45)</f>
        <v>0</v>
      </c>
      <c r="O33" s="449">
        <v>1.3599999999999999E-2</v>
      </c>
      <c r="P33" s="450">
        <f>IF(M33="","",N33*O33*44/12)</f>
        <v>0</v>
      </c>
      <c r="Q33" s="296"/>
      <c r="R33" s="297"/>
      <c r="S33" s="296"/>
      <c r="T33" s="216"/>
      <c r="U33" s="216"/>
      <c r="V33" s="216"/>
      <c r="X33" s="298"/>
      <c r="Y33" s="298"/>
      <c r="Z33"/>
      <c r="AA33"/>
      <c r="AB33"/>
      <c r="AC33" s="50"/>
    </row>
    <row r="34" spans="1:29" ht="18" customHeight="1">
      <c r="A34" s="276"/>
      <c r="C34" s="1001"/>
      <c r="D34" s="1135"/>
      <c r="E34" s="980"/>
      <c r="F34" s="1125" t="s">
        <v>141</v>
      </c>
      <c r="G34" s="1127"/>
      <c r="H34" s="452"/>
      <c r="I34" s="88" t="str">
        <f>'その5（非公表）'!I37&amp;""</f>
        <v/>
      </c>
      <c r="J34" s="453"/>
      <c r="K34" s="447" t="str">
        <f>'その5（非公表）'!K37&amp;""</f>
        <v/>
      </c>
      <c r="L34" s="454" t="str">
        <f>'その5（非公表）'!L37&amp;""</f>
        <v>　</v>
      </c>
      <c r="M34" s="448">
        <f>'その5（非公表）'!M37</f>
        <v>0</v>
      </c>
      <c r="N34" s="448">
        <f>'その5（非公表）'!N37</f>
        <v>0</v>
      </c>
      <c r="O34" s="449" t="str">
        <f>'その5（非公表）'!O37&amp;""</f>
        <v/>
      </c>
      <c r="P34" s="455" t="str">
        <f>IFERROR(IF(M34="","",N34*O34*44/12),"")</f>
        <v/>
      </c>
      <c r="Q34" s="296"/>
      <c r="R34" s="297"/>
      <c r="S34" s="296"/>
      <c r="T34"/>
      <c r="U34"/>
      <c r="V34"/>
      <c r="W34" s="241" t="s">
        <v>623</v>
      </c>
      <c r="X34" s="298">
        <v>45</v>
      </c>
      <c r="Y34" s="298">
        <v>1.3599999999999999E-2</v>
      </c>
      <c r="Z34"/>
      <c r="AA34"/>
      <c r="AB34"/>
      <c r="AC34" s="50"/>
    </row>
    <row r="35" spans="1:29" ht="18" customHeight="1">
      <c r="A35" s="276"/>
      <c r="C35" s="1001"/>
      <c r="D35" s="1135"/>
      <c r="E35" s="983"/>
      <c r="F35" s="1126"/>
      <c r="G35" s="1128"/>
      <c r="H35" s="452"/>
      <c r="I35" s="88" t="str">
        <f>'その5（非公表）'!I38&amp;""</f>
        <v/>
      </c>
      <c r="J35" s="453"/>
      <c r="K35" s="447" t="str">
        <f>'その5（非公表）'!K38&amp;""</f>
        <v/>
      </c>
      <c r="L35" s="454" t="str">
        <f>'その5（非公表）'!L38&amp;""</f>
        <v/>
      </c>
      <c r="M35" s="448">
        <f>'その5（非公表）'!M38</f>
        <v>0</v>
      </c>
      <c r="N35" s="448">
        <f>'その5（非公表）'!N38</f>
        <v>0</v>
      </c>
      <c r="O35" s="449" t="str">
        <f>'その5（非公表）'!O38&amp;""</f>
        <v/>
      </c>
      <c r="P35" s="455" t="str">
        <f>IFERROR(IF(M35="","",N35*O35*44/12),"")</f>
        <v/>
      </c>
      <c r="Q35" s="296"/>
      <c r="R35" s="297"/>
      <c r="S35" s="296"/>
      <c r="T35"/>
      <c r="U35"/>
      <c r="V35"/>
      <c r="X35" s="298"/>
      <c r="Y35" s="298"/>
      <c r="Z35"/>
      <c r="AA35"/>
      <c r="AB35"/>
    </row>
    <row r="36" spans="1:29" ht="18" customHeight="1">
      <c r="A36" s="276"/>
      <c r="C36" s="1001"/>
      <c r="D36" s="1135"/>
      <c r="E36" s="291"/>
      <c r="F36" s="1129" t="s">
        <v>142</v>
      </c>
      <c r="G36" s="1129"/>
      <c r="H36" s="1129"/>
      <c r="I36" s="1129"/>
      <c r="J36" s="453"/>
      <c r="K36" s="447" t="str">
        <f>'その5（非公表）'!K40&amp;""</f>
        <v/>
      </c>
      <c r="L36" s="456" t="s">
        <v>143</v>
      </c>
      <c r="M36" s="448">
        <f>'その5（非公表）'!M40</f>
        <v>0</v>
      </c>
      <c r="N36" s="457"/>
      <c r="O36" s="449">
        <v>0.06</v>
      </c>
      <c r="P36" s="455">
        <f>IF(M36="","",M36*O36)</f>
        <v>0</v>
      </c>
      <c r="Q36" s="296"/>
      <c r="R36" s="297"/>
      <c r="S36" s="296"/>
      <c r="T36" s="296"/>
      <c r="U36"/>
      <c r="V36"/>
      <c r="W36" s="241" t="s">
        <v>578</v>
      </c>
      <c r="X36" s="298">
        <v>1.17</v>
      </c>
      <c r="Y36" s="298">
        <v>0.06</v>
      </c>
      <c r="Z36"/>
      <c r="AA36"/>
      <c r="AB36"/>
    </row>
    <row r="37" spans="1:29" ht="18" customHeight="1">
      <c r="A37" s="276"/>
      <c r="C37" s="1001"/>
      <c r="D37" s="1135"/>
      <c r="E37" s="291"/>
      <c r="F37" s="1129" t="s">
        <v>144</v>
      </c>
      <c r="G37" s="1129"/>
      <c r="H37" s="1129"/>
      <c r="I37" s="1129"/>
      <c r="J37" s="453"/>
      <c r="K37" s="447" t="str">
        <f>'その5（非公表）'!K41&amp;""</f>
        <v/>
      </c>
      <c r="L37" s="456" t="s">
        <v>143</v>
      </c>
      <c r="M37" s="448">
        <f>'その5（非公表）'!M41</f>
        <v>0</v>
      </c>
      <c r="N37" s="457"/>
      <c r="O37" s="449">
        <v>0.06</v>
      </c>
      <c r="P37" s="455">
        <f>IF(M37="","",M37*O37)</f>
        <v>0</v>
      </c>
      <c r="Q37" s="296"/>
      <c r="R37" s="297"/>
      <c r="S37" s="296"/>
      <c r="T37" s="296"/>
      <c r="U37"/>
      <c r="V37"/>
      <c r="W37" s="241" t="s">
        <v>579</v>
      </c>
      <c r="X37" s="298">
        <v>1.19</v>
      </c>
      <c r="Y37" s="298">
        <v>0.06</v>
      </c>
      <c r="Z37"/>
      <c r="AA37"/>
      <c r="AB37"/>
    </row>
    <row r="38" spans="1:29" ht="18" customHeight="1">
      <c r="A38" s="276"/>
      <c r="C38" s="1001"/>
      <c r="D38" s="1135"/>
      <c r="E38" s="291"/>
      <c r="F38" s="1129" t="s">
        <v>145</v>
      </c>
      <c r="G38" s="1129"/>
      <c r="H38" s="1129"/>
      <c r="I38" s="1129"/>
      <c r="J38" s="453"/>
      <c r="K38" s="447" t="str">
        <f>'その5（非公表）'!K42&amp;""</f>
        <v/>
      </c>
      <c r="L38" s="456" t="s">
        <v>143</v>
      </c>
      <c r="M38" s="448">
        <f>'その5（非公表）'!M42</f>
        <v>0</v>
      </c>
      <c r="N38" s="457"/>
      <c r="O38" s="449">
        <v>0.06</v>
      </c>
      <c r="P38" s="455">
        <f>IF(M38="","",M38*O38)</f>
        <v>0</v>
      </c>
      <c r="Q38" s="296"/>
      <c r="R38" s="297"/>
      <c r="S38" s="296"/>
      <c r="T38" s="296"/>
      <c r="U38"/>
      <c r="V38"/>
      <c r="W38" s="241" t="s">
        <v>580</v>
      </c>
      <c r="X38" s="298">
        <v>1.19</v>
      </c>
      <c r="Y38" s="298">
        <v>0.06</v>
      </c>
      <c r="Z38"/>
      <c r="AA38"/>
      <c r="AB38"/>
    </row>
    <row r="39" spans="1:29" ht="18" customHeight="1">
      <c r="A39" s="276"/>
      <c r="C39" s="1001"/>
      <c r="D39" s="1135"/>
      <c r="E39" s="291"/>
      <c r="F39" s="1129" t="s">
        <v>146</v>
      </c>
      <c r="G39" s="1129"/>
      <c r="H39" s="1129"/>
      <c r="I39" s="1129"/>
      <c r="J39" s="453"/>
      <c r="K39" s="447" t="str">
        <f>'その5（非公表）'!K43&amp;""</f>
        <v/>
      </c>
      <c r="L39" s="456" t="s">
        <v>143</v>
      </c>
      <c r="M39" s="448">
        <f>'その5（非公表）'!M43</f>
        <v>0</v>
      </c>
      <c r="N39" s="457"/>
      <c r="O39" s="449">
        <v>0.06</v>
      </c>
      <c r="P39" s="455">
        <f>IF(M39="","",M39*O39)</f>
        <v>0</v>
      </c>
      <c r="Q39" s="296"/>
      <c r="R39" s="297"/>
      <c r="S39" s="296"/>
      <c r="T39" s="296"/>
      <c r="U39"/>
      <c r="V39"/>
      <c r="W39"/>
      <c r="X39"/>
      <c r="Y39"/>
      <c r="Z39"/>
      <c r="AA39"/>
      <c r="AB39"/>
    </row>
    <row r="40" spans="1:29" ht="18" customHeight="1">
      <c r="A40" s="276"/>
      <c r="C40" s="1001"/>
      <c r="D40" s="1135"/>
      <c r="E40" s="291"/>
      <c r="F40" s="1131" t="s">
        <v>730</v>
      </c>
      <c r="G40" s="1131"/>
      <c r="H40" s="1131"/>
      <c r="I40" s="1131"/>
      <c r="J40" s="453"/>
      <c r="K40" s="447" t="str">
        <f>'その5（非公表）'!K44&amp;""</f>
        <v/>
      </c>
      <c r="L40" s="456" t="s">
        <v>550</v>
      </c>
      <c r="M40" s="448">
        <f>'その5（非公表）'!M44</f>
        <v>0</v>
      </c>
      <c r="N40" s="458"/>
      <c r="O40" s="459"/>
      <c r="P40" s="460"/>
      <c r="Q40" s="296"/>
      <c r="R40" s="297"/>
      <c r="S40" s="296"/>
      <c r="T40" s="296"/>
      <c r="U40"/>
      <c r="V40"/>
      <c r="W40"/>
      <c r="X40"/>
      <c r="Y40"/>
      <c r="Z40"/>
      <c r="AA40"/>
      <c r="AB40"/>
    </row>
    <row r="41" spans="1:29" ht="18" customHeight="1">
      <c r="A41" s="276"/>
      <c r="C41" s="1001"/>
      <c r="D41" s="1135"/>
      <c r="E41" s="291"/>
      <c r="F41" s="1130" t="s">
        <v>732</v>
      </c>
      <c r="G41" s="1130"/>
      <c r="H41" s="1130"/>
      <c r="I41" s="1130"/>
      <c r="J41" s="453"/>
      <c r="K41" s="447" t="str">
        <f>'その5（非公表）'!K45&amp;""</f>
        <v/>
      </c>
      <c r="L41" s="456" t="s">
        <v>550</v>
      </c>
      <c r="M41" s="448">
        <f>'その5（非公表）'!M45</f>
        <v>0</v>
      </c>
      <c r="N41" s="457"/>
      <c r="O41" s="449">
        <v>0.06</v>
      </c>
      <c r="P41" s="455">
        <f>M41*O41</f>
        <v>0</v>
      </c>
      <c r="Q41" s="296"/>
      <c r="R41" s="297"/>
      <c r="S41" s="296"/>
      <c r="T41" s="296"/>
      <c r="U41"/>
      <c r="V41"/>
      <c r="W41"/>
      <c r="X41"/>
      <c r="Y41"/>
      <c r="Z41"/>
      <c r="AA41"/>
      <c r="AB41"/>
    </row>
    <row r="42" spans="1:29" ht="18" customHeight="1">
      <c r="A42" s="276"/>
      <c r="C42" s="1001"/>
      <c r="D42" s="1135"/>
      <c r="E42" s="291"/>
      <c r="F42" s="1130" t="s">
        <v>726</v>
      </c>
      <c r="G42" s="1130"/>
      <c r="H42" s="1130"/>
      <c r="I42" s="1130"/>
      <c r="J42" s="453"/>
      <c r="K42" s="447" t="str">
        <f>'その5（非公表）'!K46&amp;""</f>
        <v/>
      </c>
      <c r="L42" s="456" t="s">
        <v>550</v>
      </c>
      <c r="M42" s="448">
        <f>'その5（非公表）'!M46</f>
        <v>0</v>
      </c>
      <c r="N42" s="458"/>
      <c r="O42" s="459"/>
      <c r="P42" s="460"/>
      <c r="Q42" s="296"/>
      <c r="R42" s="297"/>
      <c r="S42" s="296"/>
      <c r="T42" s="296"/>
      <c r="U42"/>
      <c r="V42"/>
      <c r="W42"/>
      <c r="X42"/>
      <c r="Y42"/>
      <c r="Z42"/>
      <c r="AA42"/>
      <c r="AB42"/>
    </row>
    <row r="43" spans="1:29" ht="18" customHeight="1">
      <c r="A43" s="276"/>
      <c r="C43" s="1001"/>
      <c r="D43" s="1135"/>
      <c r="E43" s="291"/>
      <c r="F43" s="1130" t="s">
        <v>728</v>
      </c>
      <c r="G43" s="1130"/>
      <c r="H43" s="1130"/>
      <c r="I43" s="1130"/>
      <c r="J43" s="453"/>
      <c r="K43" s="447" t="str">
        <f>'その5（非公表）'!K47&amp;""</f>
        <v/>
      </c>
      <c r="L43" s="456" t="s">
        <v>550</v>
      </c>
      <c r="M43" s="448">
        <f>'その5（非公表）'!M47</f>
        <v>0</v>
      </c>
      <c r="N43" s="457"/>
      <c r="O43" s="449">
        <v>0.06</v>
      </c>
      <c r="P43" s="455">
        <f>M43*O43</f>
        <v>0</v>
      </c>
      <c r="Q43" s="296"/>
      <c r="R43" s="297"/>
      <c r="S43" s="296"/>
      <c r="T43" s="296"/>
      <c r="U43"/>
      <c r="V43"/>
      <c r="W43"/>
      <c r="X43"/>
      <c r="Y43"/>
      <c r="Z43"/>
      <c r="AA43"/>
      <c r="AB43"/>
    </row>
    <row r="44" spans="1:29" ht="18" customHeight="1">
      <c r="A44" s="276"/>
      <c r="C44" s="1001" t="s">
        <v>611</v>
      </c>
      <c r="D44" s="1135"/>
      <c r="E44" s="291"/>
      <c r="F44" s="1129" t="str">
        <f>'その5（非公表）'!F48:I48</f>
        <v>そ　の　他　（　　　　　　　　　　）</v>
      </c>
      <c r="G44" s="1129"/>
      <c r="H44" s="1129"/>
      <c r="I44" s="1129"/>
      <c r="J44" s="453"/>
      <c r="K44" s="447" t="str">
        <f>'その5（非公表）'!K48&amp;""</f>
        <v/>
      </c>
      <c r="L44" s="456" t="str">
        <f>'その5（非公表）'!L48&amp;""</f>
        <v/>
      </c>
      <c r="M44" s="448">
        <f>'その5（非公表）'!M48</f>
        <v>0</v>
      </c>
      <c r="N44" s="448">
        <f>'その5（非公表）'!N48</f>
        <v>0</v>
      </c>
      <c r="O44" s="461" t="str">
        <f>'その5（非公表）'!O48&amp;""</f>
        <v/>
      </c>
      <c r="P44" s="455" t="str">
        <f>IFERROR(IF(M44="","",N44*O44*44/12),"")</f>
        <v/>
      </c>
      <c r="Q44" s="296"/>
      <c r="R44" s="297"/>
      <c r="S44" s="296"/>
      <c r="T44" s="296"/>
      <c r="U44"/>
      <c r="V44"/>
      <c r="W44"/>
      <c r="X44"/>
      <c r="Y44"/>
      <c r="AA44"/>
      <c r="AB44"/>
    </row>
    <row r="45" spans="1:29" ht="18" customHeight="1" thickBot="1">
      <c r="A45" s="276"/>
      <c r="C45" s="1001"/>
      <c r="D45" s="1135"/>
      <c r="E45" s="324"/>
      <c r="F45" s="1126" t="s">
        <v>147</v>
      </c>
      <c r="G45" s="1126"/>
      <c r="H45" s="1126"/>
      <c r="I45" s="1126"/>
      <c r="J45" s="462"/>
      <c r="K45" s="463"/>
      <c r="L45" s="464"/>
      <c r="M45" s="465"/>
      <c r="N45" s="466"/>
      <c r="O45" s="467"/>
      <c r="P45" s="468">
        <f>SUM(P8:P44)</f>
        <v>0</v>
      </c>
      <c r="Q45" s="296"/>
      <c r="R45" s="332"/>
      <c r="S45" s="414"/>
      <c r="T45" s="414"/>
      <c r="U45"/>
      <c r="V45"/>
      <c r="W45"/>
      <c r="X45"/>
      <c r="Y45"/>
      <c r="AA45"/>
      <c r="AB45"/>
    </row>
    <row r="46" spans="1:29" s="264" customFormat="1" ht="18" customHeight="1" thickTop="1">
      <c r="A46" s="333"/>
      <c r="C46" s="1008" t="s">
        <v>611</v>
      </c>
      <c r="D46" s="1009"/>
      <c r="E46" s="334"/>
      <c r="F46" s="996" t="s">
        <v>531</v>
      </c>
      <c r="G46" s="996"/>
      <c r="H46" s="996"/>
      <c r="I46" s="996"/>
      <c r="J46" s="335"/>
      <c r="K46" s="469" t="str">
        <f>'その5（非公表）'!K50&amp;""</f>
        <v/>
      </c>
      <c r="L46" s="336" t="s">
        <v>148</v>
      </c>
      <c r="M46" s="470">
        <f>'その5（非公表）'!M50</f>
        <v>0</v>
      </c>
      <c r="N46" s="471"/>
      <c r="O46" s="472">
        <v>0.48899999999999999</v>
      </c>
      <c r="P46" s="473">
        <f>M46*O46</f>
        <v>0</v>
      </c>
      <c r="Q46" s="296"/>
      <c r="R46" s="297"/>
      <c r="S46" s="296"/>
      <c r="T46" s="296"/>
      <c r="U46"/>
      <c r="V46"/>
      <c r="W46" s="241" t="s">
        <v>624</v>
      </c>
      <c r="X46" s="298">
        <v>8.64</v>
      </c>
      <c r="Y46" s="298">
        <v>0.48899999999999999</v>
      </c>
      <c r="AA46"/>
      <c r="AB46"/>
    </row>
    <row r="47" spans="1:29" s="264" customFormat="1" ht="18" customHeight="1">
      <c r="A47" s="333"/>
      <c r="C47" s="1001"/>
      <c r="D47" s="1002"/>
      <c r="E47" s="291"/>
      <c r="F47" s="997" t="s">
        <v>738</v>
      </c>
      <c r="G47" s="997"/>
      <c r="H47" s="997"/>
      <c r="I47" s="997"/>
      <c r="J47" s="292"/>
      <c r="K47" s="447" t="str">
        <f>'その5（非公表）'!M51&amp;""</f>
        <v/>
      </c>
      <c r="L47" s="341" t="s">
        <v>149</v>
      </c>
      <c r="M47" s="448">
        <f>'その5（非公表）'!M51</f>
        <v>0</v>
      </c>
      <c r="N47" s="474"/>
      <c r="O47" s="475"/>
      <c r="P47" s="476"/>
      <c r="Q47" s="296"/>
      <c r="R47" s="297"/>
      <c r="S47" s="296"/>
      <c r="T47" s="296"/>
      <c r="U47"/>
      <c r="V47"/>
      <c r="W47" s="241" t="s">
        <v>625</v>
      </c>
      <c r="X47" s="298">
        <v>8.64</v>
      </c>
      <c r="Y47" s="298">
        <v>0.48899999999999999</v>
      </c>
      <c r="Z47"/>
      <c r="AA47"/>
      <c r="AB47"/>
    </row>
    <row r="48" spans="1:29" s="264" customFormat="1" ht="18" customHeight="1">
      <c r="A48" s="333"/>
      <c r="C48" s="1001"/>
      <c r="D48" s="1002"/>
      <c r="E48" s="300"/>
      <c r="F48" s="997" t="s">
        <v>740</v>
      </c>
      <c r="G48" s="997"/>
      <c r="H48" s="997"/>
      <c r="I48" s="997"/>
      <c r="J48" s="301"/>
      <c r="K48" s="447" t="str">
        <f>'その5（非公表）'!M52&amp;""</f>
        <v/>
      </c>
      <c r="L48" s="341" t="s">
        <v>149</v>
      </c>
      <c r="M48" s="448">
        <f>'その5（非公表）'!M52</f>
        <v>0</v>
      </c>
      <c r="N48" s="474"/>
      <c r="O48" s="477">
        <v>0.48899999999999999</v>
      </c>
      <c r="P48" s="450">
        <f>M48*O48</f>
        <v>0</v>
      </c>
      <c r="Q48" s="296"/>
      <c r="R48" s="297"/>
      <c r="S48" s="296"/>
      <c r="T48" s="296"/>
      <c r="U48"/>
      <c r="V48"/>
      <c r="W48" s="241"/>
      <c r="X48" s="298"/>
      <c r="Y48" s="298"/>
      <c r="Z48"/>
      <c r="AA48"/>
      <c r="AB48"/>
    </row>
    <row r="49" spans="1:28" s="264" customFormat="1" ht="18" customHeight="1">
      <c r="A49" s="333"/>
      <c r="C49" s="1001"/>
      <c r="D49" s="1002"/>
      <c r="E49" s="300"/>
      <c r="F49" s="994" t="s">
        <v>734</v>
      </c>
      <c r="G49" s="994"/>
      <c r="H49" s="994"/>
      <c r="I49" s="994"/>
      <c r="J49" s="301"/>
      <c r="K49" s="447" t="str">
        <f>'その5（非公表）'!M53&amp;""</f>
        <v/>
      </c>
      <c r="L49" s="341" t="s">
        <v>149</v>
      </c>
      <c r="M49" s="448">
        <f>'その5（非公表）'!M53</f>
        <v>0</v>
      </c>
      <c r="N49" s="474"/>
      <c r="O49" s="475"/>
      <c r="P49" s="476"/>
      <c r="Q49" s="296"/>
      <c r="R49" s="297"/>
      <c r="S49" s="296"/>
      <c r="T49" s="296"/>
      <c r="U49"/>
      <c r="V49"/>
      <c r="W49" s="241"/>
      <c r="X49" s="298"/>
      <c r="Y49" s="298"/>
      <c r="Z49"/>
      <c r="AA49"/>
      <c r="AB49"/>
    </row>
    <row r="50" spans="1:28" s="264" customFormat="1" ht="18" customHeight="1">
      <c r="A50" s="333"/>
      <c r="C50" s="1001"/>
      <c r="D50" s="1002"/>
      <c r="E50" s="300"/>
      <c r="F50" s="993" t="s">
        <v>736</v>
      </c>
      <c r="G50" s="993"/>
      <c r="H50" s="993"/>
      <c r="I50" s="993"/>
      <c r="J50" s="301"/>
      <c r="K50" s="463" t="str">
        <f>'その5（非公表）'!M54&amp;""</f>
        <v/>
      </c>
      <c r="L50" s="341" t="s">
        <v>149</v>
      </c>
      <c r="M50" s="478">
        <f>'その5（非公表）'!M54</f>
        <v>0</v>
      </c>
      <c r="N50" s="474"/>
      <c r="O50" s="477">
        <v>0.48899999999999999</v>
      </c>
      <c r="P50" s="450">
        <f>M50*O50</f>
        <v>0</v>
      </c>
      <c r="Q50" s="296"/>
      <c r="R50" s="297"/>
      <c r="S50" s="296"/>
      <c r="T50" s="296"/>
      <c r="U50"/>
      <c r="V50"/>
      <c r="W50" s="241" t="s">
        <v>626</v>
      </c>
      <c r="X50" s="298">
        <v>8.64</v>
      </c>
      <c r="Y50" s="298">
        <v>0.48899999999999999</v>
      </c>
      <c r="Z50"/>
      <c r="AA50"/>
      <c r="AB50"/>
    </row>
    <row r="51" spans="1:28" s="264" customFormat="1" ht="18" customHeight="1" thickBot="1">
      <c r="A51" s="333"/>
      <c r="C51" s="1003"/>
      <c r="D51" s="1004"/>
      <c r="E51" s="352"/>
      <c r="F51" s="990" t="s">
        <v>147</v>
      </c>
      <c r="G51" s="990"/>
      <c r="H51" s="990"/>
      <c r="I51" s="990"/>
      <c r="J51" s="353"/>
      <c r="K51" s="479"/>
      <c r="L51" s="354" t="s">
        <v>150</v>
      </c>
      <c r="M51" s="480"/>
      <c r="N51" s="481"/>
      <c r="O51" s="482"/>
      <c r="P51" s="483">
        <f>SUM(P46:P50)</f>
        <v>0</v>
      </c>
      <c r="Q51" s="296"/>
      <c r="R51" s="332"/>
      <c r="S51" s="414"/>
      <c r="T51" s="414"/>
      <c r="U51"/>
      <c r="V51"/>
      <c r="W51" s="241"/>
      <c r="X51" s="484"/>
      <c r="Y51" s="484"/>
      <c r="Z51"/>
      <c r="AA51"/>
      <c r="AB51"/>
    </row>
    <row r="52" spans="1:28" s="264" customFormat="1" ht="18" customHeight="1" thickTop="1">
      <c r="A52" s="333"/>
      <c r="C52" s="1010" t="s">
        <v>151</v>
      </c>
      <c r="D52" s="1011"/>
      <c r="E52" s="359"/>
      <c r="F52" s="1007" t="s">
        <v>152</v>
      </c>
      <c r="G52" s="1007"/>
      <c r="H52" s="1007"/>
      <c r="I52" s="1007"/>
      <c r="J52" s="360"/>
      <c r="K52" s="485" t="str">
        <f>'その5（非公表）'!K57&amp;""</f>
        <v/>
      </c>
      <c r="L52" s="336" t="s">
        <v>108</v>
      </c>
      <c r="M52" s="470">
        <f>'その5（非公表）'!M57</f>
        <v>0</v>
      </c>
      <c r="N52" s="486"/>
      <c r="O52" s="70" t="str">
        <f>'その5（非公表）'!O57&amp;""</f>
        <v/>
      </c>
      <c r="P52" s="487" t="str">
        <f>IFERROR(IF(M52="","",-ABS(M52*O52)),"")</f>
        <v/>
      </c>
      <c r="Q52" s="296"/>
      <c r="R52" s="297"/>
      <c r="S52" s="296"/>
      <c r="T52" s="296"/>
      <c r="AB52" s="50"/>
    </row>
    <row r="53" spans="1:28" s="264" customFormat="1" ht="18" customHeight="1">
      <c r="A53" s="333"/>
      <c r="C53" s="1012"/>
      <c r="D53" s="1013"/>
      <c r="E53" s="363"/>
      <c r="F53" s="970" t="s">
        <v>153</v>
      </c>
      <c r="G53" s="970"/>
      <c r="H53" s="970"/>
      <c r="I53" s="970"/>
      <c r="J53" s="292"/>
      <c r="K53" s="447" t="str">
        <f>'その5（非公表）'!K58&amp;""</f>
        <v/>
      </c>
      <c r="L53" s="350" t="s">
        <v>109</v>
      </c>
      <c r="M53" s="488">
        <f>'その5（非公表）'!M58</f>
        <v>0</v>
      </c>
      <c r="N53" s="474"/>
      <c r="O53" s="71" t="str">
        <f>'その5（非公表）'!O58&amp;""</f>
        <v/>
      </c>
      <c r="P53" s="450" t="str">
        <f>IFERROR(IF(M53="","",-ABS(M53*O53)),"")</f>
        <v/>
      </c>
      <c r="Q53" s="296"/>
      <c r="R53" s="297"/>
      <c r="S53" s="296"/>
      <c r="T53" s="296"/>
      <c r="AB53" s="50"/>
    </row>
    <row r="54" spans="1:28" s="264" customFormat="1" ht="18" customHeight="1" thickBot="1">
      <c r="A54" s="333"/>
      <c r="C54" s="1014"/>
      <c r="D54" s="1015"/>
      <c r="E54" s="365"/>
      <c r="F54" s="990" t="s">
        <v>147</v>
      </c>
      <c r="G54" s="990"/>
      <c r="H54" s="990"/>
      <c r="I54" s="990"/>
      <c r="J54" s="353"/>
      <c r="K54" s="489"/>
      <c r="L54" s="367"/>
      <c r="M54" s="490"/>
      <c r="N54" s="491"/>
      <c r="O54" s="492"/>
      <c r="P54" s="493">
        <f>SUM(P52:P53)</f>
        <v>0</v>
      </c>
      <c r="Q54" s="296"/>
      <c r="R54" s="332"/>
      <c r="S54" s="414"/>
      <c r="T54" s="414"/>
      <c r="AB54" s="50"/>
    </row>
    <row r="55" spans="1:28" s="264" customFormat="1" ht="18" customHeight="1" thickTop="1" thickBot="1">
      <c r="A55" s="333"/>
      <c r="C55" s="372"/>
      <c r="D55" s="1005" t="s">
        <v>154</v>
      </c>
      <c r="E55" s="1005"/>
      <c r="F55" s="1005"/>
      <c r="G55" s="1005"/>
      <c r="H55" s="1005"/>
      <c r="I55" s="1005"/>
      <c r="J55" s="325"/>
      <c r="K55" s="462"/>
      <c r="L55" s="349" t="s">
        <v>143</v>
      </c>
      <c r="M55" s="373"/>
      <c r="N55" s="494"/>
      <c r="O55" s="495"/>
      <c r="P55" s="487">
        <f>INT(SUM(P45,P51,P54))</f>
        <v>0</v>
      </c>
      <c r="Q55" s="296"/>
      <c r="R55" s="332"/>
      <c r="S55" s="414"/>
      <c r="T55" s="414"/>
      <c r="X55" s="484"/>
      <c r="Y55" s="484"/>
      <c r="AB55" s="50"/>
    </row>
    <row r="56" spans="1:28" s="264" customFormat="1" ht="18" customHeight="1" thickTop="1" thickBot="1">
      <c r="A56" s="333"/>
      <c r="C56" s="496"/>
      <c r="D56" s="1132" t="s">
        <v>155</v>
      </c>
      <c r="E56" s="1132"/>
      <c r="F56" s="1132"/>
      <c r="G56" s="1132"/>
      <c r="H56" s="1132"/>
      <c r="I56" s="1132"/>
      <c r="J56" s="497"/>
      <c r="K56" s="498"/>
      <c r="L56" s="499" t="s">
        <v>110</v>
      </c>
      <c r="M56" s="1133">
        <f>INT(N55*0.0258)</f>
        <v>0</v>
      </c>
      <c r="N56" s="992"/>
      <c r="O56" s="500"/>
      <c r="P56" s="501"/>
      <c r="Q56" s="390"/>
      <c r="R56" s="391"/>
      <c r="S56" s="390"/>
      <c r="T56" s="390"/>
      <c r="X56" s="484"/>
      <c r="Y56" s="484"/>
      <c r="AB56" s="50"/>
    </row>
    <row r="57" spans="1:28" s="264" customFormat="1" ht="18" customHeight="1">
      <c r="A57" s="333"/>
      <c r="C57" s="392"/>
      <c r="D57" s="393"/>
      <c r="E57" s="393"/>
      <c r="F57" s="393"/>
      <c r="G57" s="393"/>
      <c r="H57" s="393"/>
      <c r="I57" s="393"/>
      <c r="J57" s="394"/>
      <c r="K57" s="502"/>
      <c r="L57" s="395"/>
      <c r="M57" s="396"/>
      <c r="N57" s="396"/>
      <c r="O57" s="388"/>
      <c r="P57" s="413"/>
      <c r="Q57" s="390"/>
      <c r="R57" s="391"/>
      <c r="S57" s="390"/>
      <c r="T57" s="390"/>
      <c r="X57" s="484"/>
      <c r="Y57" s="484"/>
      <c r="AB57" s="50"/>
    </row>
    <row r="58" spans="1:28" s="264" customFormat="1" ht="18" customHeight="1">
      <c r="A58" s="333"/>
      <c r="C58" s="392"/>
      <c r="D58" s="393"/>
      <c r="E58" s="503" t="s">
        <v>609</v>
      </c>
      <c r="F58" s="504"/>
      <c r="G58" s="504"/>
      <c r="H58" s="504"/>
      <c r="I58" s="505" t="str">
        <f>IF(その1!AD20="","",ROUND(P55/その1!AD20*1000,0))</f>
        <v/>
      </c>
      <c r="J58" s="259" t="s">
        <v>700</v>
      </c>
      <c r="K58" s="506"/>
      <c r="L58" s="506"/>
      <c r="M58" s="396"/>
      <c r="N58" s="396"/>
      <c r="O58" s="388"/>
      <c r="P58" s="413"/>
      <c r="Q58" s="390"/>
      <c r="R58" s="391"/>
      <c r="S58" s="390"/>
      <c r="T58" s="390"/>
      <c r="X58" s="484"/>
      <c r="Y58" s="484"/>
      <c r="AB58" s="50"/>
    </row>
    <row r="59" spans="1:28" s="264" customFormat="1" ht="18" customHeight="1">
      <c r="A59" s="333"/>
      <c r="C59" s="392"/>
      <c r="D59" s="393"/>
      <c r="E59" s="393"/>
      <c r="F59" s="393"/>
      <c r="G59" s="393"/>
      <c r="H59" s="393"/>
      <c r="I59" s="393"/>
      <c r="J59" s="394"/>
      <c r="K59" s="394"/>
      <c r="L59" s="395"/>
      <c r="M59" s="396"/>
      <c r="N59" s="396"/>
      <c r="O59" s="388"/>
      <c r="P59" s="413"/>
      <c r="Q59" s="390"/>
      <c r="R59" s="391"/>
      <c r="S59" s="390"/>
      <c r="T59" s="390"/>
      <c r="X59" s="484"/>
      <c r="Y59" s="484"/>
      <c r="AB59" s="50"/>
    </row>
    <row r="60" spans="1:28" s="264" customFormat="1" ht="3" customHeight="1">
      <c r="A60" s="257"/>
      <c r="B60" s="258"/>
      <c r="C60" s="258"/>
      <c r="D60" s="400"/>
      <c r="E60" s="400"/>
      <c r="F60" s="401"/>
      <c r="G60" s="402"/>
      <c r="H60" s="402"/>
      <c r="I60" s="403"/>
      <c r="J60" s="402"/>
      <c r="K60" s="258"/>
      <c r="L60" s="404"/>
      <c r="M60" s="405"/>
      <c r="N60" s="405"/>
      <c r="O60" s="406"/>
      <c r="P60" s="507"/>
      <c r="Q60" s="407"/>
      <c r="R60" s="408"/>
      <c r="S60" s="414"/>
      <c r="T60" s="414"/>
      <c r="AB60" s="50"/>
    </row>
    <row r="61" spans="1:28" s="264" customFormat="1" ht="18" customHeight="1">
      <c r="F61" s="265"/>
      <c r="G61" s="265"/>
      <c r="H61" s="265"/>
      <c r="I61" s="265"/>
      <c r="J61" s="265"/>
      <c r="K61" s="265"/>
      <c r="L61" s="266"/>
      <c r="M61" s="409"/>
      <c r="N61" s="410"/>
      <c r="O61" s="411"/>
      <c r="P61" s="508"/>
      <c r="Q61" s="412"/>
      <c r="R61" s="413" t="s">
        <v>478</v>
      </c>
      <c r="S61" s="413"/>
      <c r="T61" s="413"/>
      <c r="AB61" s="50"/>
    </row>
    <row r="62" spans="1:28">
      <c r="U62" s="415"/>
      <c r="V62" s="415"/>
      <c r="W62" s="264"/>
      <c r="X62" s="264"/>
      <c r="Y62" s="264"/>
    </row>
    <row r="63" spans="1:28">
      <c r="W63" s="264"/>
      <c r="X63" s="264"/>
      <c r="Y63" s="264"/>
    </row>
    <row r="64" spans="1:28">
      <c r="W64" s="415"/>
      <c r="X64" s="415"/>
      <c r="Y64" s="415"/>
    </row>
    <row r="65" spans="23:25">
      <c r="W65" s="415"/>
      <c r="X65" s="415"/>
      <c r="Y65" s="415"/>
    </row>
    <row r="66" spans="23:25">
      <c r="W66" s="415"/>
      <c r="X66" s="415"/>
      <c r="Y66" s="415"/>
    </row>
  </sheetData>
  <sheetProtection algorithmName="SHA-512" hashValue="fj5EQaLQpq9ijc3IVAJnDSz0DxWGktCg41Fhflsl3KvAJqohQqDYZHu3mHByJp0pnRNwbHYvCEZ7CdOlDAFMgA==" saltValue="Rhb/VQo2/ZoiIeRCJRWtRg==" spinCount="100000" sheet="1" objects="1" scenarios="1" formatRows="0" selectLockedCells="1"/>
  <mergeCells count="59">
    <mergeCell ref="D55:I55"/>
    <mergeCell ref="D56:I56"/>
    <mergeCell ref="M56:N56"/>
    <mergeCell ref="C8:D45"/>
    <mergeCell ref="F48:I48"/>
    <mergeCell ref="F49:I49"/>
    <mergeCell ref="F50:I50"/>
    <mergeCell ref="C46:D51"/>
    <mergeCell ref="F51:I51"/>
    <mergeCell ref="C52:D54"/>
    <mergeCell ref="F52:I52"/>
    <mergeCell ref="F53:I53"/>
    <mergeCell ref="F54:I54"/>
    <mergeCell ref="F42:I42"/>
    <mergeCell ref="F43:I43"/>
    <mergeCell ref="F44:I44"/>
    <mergeCell ref="F45:I45"/>
    <mergeCell ref="F46:I46"/>
    <mergeCell ref="F47:I47"/>
    <mergeCell ref="F41:I41"/>
    <mergeCell ref="F31:I31"/>
    <mergeCell ref="F32:I32"/>
    <mergeCell ref="F33:I33"/>
    <mergeCell ref="F38:I38"/>
    <mergeCell ref="F39:I39"/>
    <mergeCell ref="F40:I40"/>
    <mergeCell ref="E34:E35"/>
    <mergeCell ref="F34:F35"/>
    <mergeCell ref="G34:G35"/>
    <mergeCell ref="F36:I36"/>
    <mergeCell ref="F37:I37"/>
    <mergeCell ref="F30:I30"/>
    <mergeCell ref="F18:I18"/>
    <mergeCell ref="F19:I19"/>
    <mergeCell ref="E20:E21"/>
    <mergeCell ref="F20:F21"/>
    <mergeCell ref="E22:E23"/>
    <mergeCell ref="F22:F23"/>
    <mergeCell ref="H23:J23"/>
    <mergeCell ref="E24:E26"/>
    <mergeCell ref="F24:F26"/>
    <mergeCell ref="F27:I27"/>
    <mergeCell ref="F28:I28"/>
    <mergeCell ref="F29:I29"/>
    <mergeCell ref="O6:P6"/>
    <mergeCell ref="F8:I8"/>
    <mergeCell ref="F9:I9"/>
    <mergeCell ref="F10:I10"/>
    <mergeCell ref="F11:I11"/>
    <mergeCell ref="F17:I17"/>
    <mergeCell ref="D6:I7"/>
    <mergeCell ref="K6:K7"/>
    <mergeCell ref="L6:M6"/>
    <mergeCell ref="N6:N7"/>
    <mergeCell ref="F12:I12"/>
    <mergeCell ref="F13:I13"/>
    <mergeCell ref="F14:I14"/>
    <mergeCell ref="F15:I15"/>
    <mergeCell ref="F16:I16"/>
  </mergeCells>
  <phoneticPr fontId="74"/>
  <dataValidations count="2">
    <dataValidation imeMode="off" allowBlank="1" showInputMessage="1" showErrorMessage="1" sqref="M8:M45 M47:M55" xr:uid="{00000000-0002-0000-0700-000000000000}"/>
    <dataValidation type="decimal" allowBlank="1" showInputMessage="1" showErrorMessage="1" sqref="M46" xr:uid="{00000000-0002-0000-0700-000001000000}">
      <formula1>0</formula1>
      <formula2>400000</formula2>
    </dataValidation>
  </dataValidations>
  <pageMargins left="0.55118110236220474" right="0.55118110236220474" top="0.98425196850393704" bottom="0.98425196850393704" header="0.51181102362204722" footer="0.51181102362204722"/>
  <pageSetup paperSize="9" scale="76"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6" id="{015BA5C5-62F0-4707-92CA-9DF73FA4AC3B}">
            <xm:f>'その5（非公表）'!$M$21&lt;&gt;""</xm:f>
            <x14:dxf>
              <font>
                <color rgb="FFFF0000"/>
              </font>
            </x14:dxf>
          </x14:cfRule>
          <xm:sqref>V21</xm:sqref>
        </x14:conditionalFormatting>
        <x14:conditionalFormatting xmlns:xm="http://schemas.microsoft.com/office/excel/2006/main">
          <x14:cfRule type="expression" priority="5" id="{9237409D-B444-4575-AD1F-827A66C020AD}">
            <xm:f>'その5（非公表）'!$M$23&lt;&gt;""</xm:f>
            <x14:dxf>
              <font>
                <color rgb="FFFF0000"/>
              </font>
            </x14:dxf>
          </x14:cfRule>
          <xm:sqref>V23</xm:sqref>
        </x14:conditionalFormatting>
        <x14:conditionalFormatting xmlns:xm="http://schemas.microsoft.com/office/excel/2006/main">
          <x14:cfRule type="expression" priority="4" id="{D02338A7-8D7C-4092-95B5-9F9A561A74D0}">
            <xm:f>'その5（非公表）'!$M$32&lt;&gt;""</xm:f>
            <x14:dxf>
              <font>
                <color rgb="FFFF0000"/>
              </font>
            </x14:dxf>
          </x14:cfRule>
          <xm:sqref>V29</xm:sqref>
        </x14:conditionalFormatting>
        <x14:conditionalFormatting xmlns:xm="http://schemas.microsoft.com/office/excel/2006/main">
          <x14:cfRule type="expression" priority="3" id="{7956E86C-9A53-4DC9-932B-B94B6B119C21}">
            <xm:f>'その5（非公表）'!$M$33&lt;&gt;""</xm:f>
            <x14:dxf>
              <font>
                <color rgb="FFFF0000"/>
              </font>
            </x14:dxf>
          </x14:cfRule>
          <xm:sqref>V30</xm:sqref>
        </x14:conditionalFormatting>
        <x14:conditionalFormatting xmlns:xm="http://schemas.microsoft.com/office/excel/2006/main">
          <x14:cfRule type="expression" priority="2" id="{AFA3EA97-53C3-4359-A220-88231EAC5A36}">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ACB0E3F2-CCAD-4A09-A609-5FAB3D58CDBF}">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BR131"/>
  <sheetViews>
    <sheetView showGridLines="0" view="pageBreakPreview" zoomScale="85" zoomScaleNormal="85" zoomScaleSheetLayoutView="85" zoomScalePageLayoutView="55" workbookViewId="0">
      <pane ySplit="14" topLeftCell="A15" activePane="bottomLeft" state="frozen"/>
      <selection activeCell="H4" sqref="H4:J4"/>
      <selection pane="bottomLeft" activeCell="AG16" sqref="AG16:AG18"/>
    </sheetView>
  </sheetViews>
  <sheetFormatPr defaultColWidth="4.125" defaultRowHeight="13.5" customHeight="1"/>
  <cols>
    <col min="1" max="1" width="1.625" style="510" customWidth="1"/>
    <col min="2" max="2" width="5.625" style="510" customWidth="1"/>
    <col min="3" max="3" width="5.125" style="510" customWidth="1"/>
    <col min="4" max="4" width="4.375" style="510" customWidth="1"/>
    <col min="5" max="5" width="3.375" style="510" customWidth="1"/>
    <col min="6" max="7" width="5.125" style="510" customWidth="1"/>
    <col min="8" max="8" width="7.5" style="510" customWidth="1"/>
    <col min="9" max="10" width="7.625" style="510" customWidth="1"/>
    <col min="11" max="11" width="3.125" style="510" customWidth="1"/>
    <col min="12" max="12" width="4.25" style="510" customWidth="1"/>
    <col min="13" max="19" width="5.625" style="510" customWidth="1"/>
    <col min="20" max="20" width="10.625" style="510" customWidth="1"/>
    <col min="21" max="32" width="5.625" style="510" customWidth="1"/>
    <col min="33" max="33" width="7.375" style="510" customWidth="1"/>
    <col min="34" max="34" width="13.5" style="510" customWidth="1"/>
    <col min="35" max="35" width="34.625" style="510" customWidth="1"/>
    <col min="36" max="36" width="2.125" style="510" customWidth="1"/>
    <col min="37" max="42" width="4.125" style="510" hidden="1" customWidth="1"/>
    <col min="43" max="43" width="7" style="510" hidden="1" customWidth="1"/>
    <col min="44" max="44" width="8.5" style="510" hidden="1" customWidth="1"/>
    <col min="45" max="45" width="7" style="510" hidden="1" customWidth="1"/>
    <col min="46" max="46" width="8.5" style="510" hidden="1" customWidth="1"/>
    <col min="47" max="47" width="4.125" style="510" hidden="1" customWidth="1"/>
    <col min="48" max="52" width="6.375" style="510" hidden="1" customWidth="1"/>
    <col min="53" max="53" width="6.75" style="510" hidden="1" customWidth="1"/>
    <col min="54" max="54" width="16.875" style="510" hidden="1" customWidth="1"/>
    <col min="55" max="56" width="4.125" style="510" hidden="1" customWidth="1"/>
    <col min="57" max="58" width="5.625" style="510" hidden="1" customWidth="1"/>
    <col min="59" max="59" width="7" style="510" hidden="1" customWidth="1"/>
    <col min="60" max="61" width="5.625" style="510" hidden="1" customWidth="1"/>
    <col min="62" max="62" width="7" style="510" hidden="1" customWidth="1"/>
    <col min="63" max="64" width="5.625" style="510" hidden="1" customWidth="1"/>
    <col min="65" max="65" width="7" style="510" hidden="1" customWidth="1"/>
    <col min="66" max="69" width="6.375" style="510" hidden="1" customWidth="1"/>
    <col min="70" max="70" width="4.125" style="510" hidden="1" customWidth="1"/>
    <col min="71" max="73" width="4.125" style="510" customWidth="1"/>
    <col min="74" max="16384" width="4.125" style="510"/>
  </cols>
  <sheetData>
    <row r="1" spans="2:70" ht="10.5" customHeight="1"/>
    <row r="2" spans="2:70" ht="10.5" customHeight="1">
      <c r="B2" s="1136" t="s">
        <v>631</v>
      </c>
      <c r="C2" s="1136"/>
      <c r="D2" s="1136"/>
      <c r="E2" s="1136"/>
      <c r="F2" s="1136"/>
      <c r="G2" s="1136"/>
      <c r="H2" s="1136"/>
    </row>
    <row r="3" spans="2:70" ht="10.5" customHeight="1">
      <c r="B3" s="1136"/>
      <c r="C3" s="1136"/>
      <c r="D3" s="1136"/>
      <c r="E3" s="1136"/>
      <c r="F3" s="1136"/>
      <c r="G3" s="1136"/>
      <c r="H3" s="1136"/>
      <c r="I3" s="511" t="s">
        <v>57</v>
      </c>
      <c r="J3" s="512" t="s">
        <v>632</v>
      </c>
    </row>
    <row r="4" spans="2:70" ht="10.5" customHeight="1" thickBot="1"/>
    <row r="5" spans="2:70" ht="15" customHeight="1" thickTop="1">
      <c r="B5" s="1137" t="s">
        <v>58</v>
      </c>
      <c r="C5" s="1137"/>
      <c r="D5" s="1137"/>
      <c r="E5" s="1137"/>
      <c r="F5" s="1137"/>
      <c r="G5" s="1137"/>
      <c r="H5" s="1137"/>
      <c r="I5" s="1137"/>
      <c r="J5" s="1137"/>
      <c r="K5" s="1138">
        <f>提出書!AA3</f>
        <v>2026</v>
      </c>
      <c r="L5" s="1138"/>
      <c r="M5" s="1138"/>
      <c r="N5" s="513" t="s">
        <v>316</v>
      </c>
      <c r="O5" s="1138" t="str">
        <f>IF(提出書!$AE$3="","",提出書!$AE$3)</f>
        <v/>
      </c>
      <c r="P5" s="1138"/>
      <c r="Q5" s="513" t="s">
        <v>59</v>
      </c>
      <c r="R5" s="1138" t="str">
        <f>IF(提出書!$AH$3="","",提出書!$AH$3)</f>
        <v/>
      </c>
      <c r="S5" s="1138"/>
      <c r="T5" s="514" t="s">
        <v>60</v>
      </c>
      <c r="AA5" s="1139">
        <f>ROUND(SUM(AT16:AT54,AT56:AT64,AT66:AT92,AT94:AT99,AT101:AT109,AT111:AT128),0)</f>
        <v>0</v>
      </c>
      <c r="AB5" s="1140"/>
      <c r="AC5" s="1140"/>
      <c r="AD5" s="1140"/>
      <c r="AE5" s="1140"/>
      <c r="AF5" s="1149" t="s">
        <v>514</v>
      </c>
      <c r="AK5" s="515" t="s">
        <v>61</v>
      </c>
      <c r="AL5" s="515"/>
      <c r="AM5" s="515"/>
      <c r="AN5" s="515"/>
      <c r="AO5" s="515"/>
      <c r="AP5" s="515"/>
      <c r="AQ5" s="515"/>
      <c r="AR5" s="515"/>
      <c r="AS5" s="515"/>
      <c r="AT5" s="515"/>
      <c r="AU5" s="516"/>
      <c r="AV5" s="516"/>
      <c r="AW5" s="516"/>
      <c r="AX5" s="516"/>
      <c r="AY5" s="516"/>
      <c r="AZ5" s="516"/>
      <c r="BA5" s="516"/>
      <c r="BB5" s="516"/>
      <c r="BC5" s="516"/>
      <c r="BD5" s="516"/>
      <c r="BE5" s="516"/>
      <c r="BF5" s="516"/>
      <c r="BG5" s="516"/>
      <c r="BH5" s="516"/>
      <c r="BI5" s="516"/>
      <c r="BJ5" s="516"/>
      <c r="BK5" s="516"/>
      <c r="BL5" s="516"/>
      <c r="BM5" s="516"/>
      <c r="BN5" s="516"/>
      <c r="BO5" s="516"/>
      <c r="BP5" s="516"/>
      <c r="BQ5" s="516"/>
      <c r="BR5" s="516"/>
    </row>
    <row r="6" spans="2:70" ht="15" customHeight="1">
      <c r="B6" s="1137" t="s">
        <v>62</v>
      </c>
      <c r="C6" s="1137"/>
      <c r="D6" s="1137"/>
      <c r="E6" s="1137"/>
      <c r="F6" s="1137"/>
      <c r="G6" s="1137"/>
      <c r="H6" s="1137"/>
      <c r="I6" s="1137"/>
      <c r="J6" s="1137"/>
      <c r="K6" s="1145" t="str">
        <f>IF(その1!E9="","",その1!E9)</f>
        <v/>
      </c>
      <c r="L6" s="1146"/>
      <c r="M6" s="1146"/>
      <c r="N6" s="1146"/>
      <c r="O6" s="1146"/>
      <c r="P6" s="1146"/>
      <c r="Q6" s="1146"/>
      <c r="R6" s="1146"/>
      <c r="S6" s="1146"/>
      <c r="T6" s="1146"/>
      <c r="AA6" s="1141"/>
      <c r="AB6" s="1142"/>
      <c r="AC6" s="1142"/>
      <c r="AD6" s="1142"/>
      <c r="AE6" s="1142"/>
      <c r="AF6" s="1150"/>
      <c r="AK6" s="1152" t="s">
        <v>633</v>
      </c>
      <c r="AL6" s="1153"/>
      <c r="AM6" s="1153"/>
      <c r="AN6" s="1153"/>
      <c r="AO6" s="1153"/>
      <c r="AP6" s="1153"/>
      <c r="AQ6" s="1153"/>
      <c r="AR6" s="1153"/>
      <c r="AS6" s="1153"/>
      <c r="AT6" s="1153"/>
      <c r="AU6" s="516"/>
      <c r="AV6" s="516"/>
      <c r="AW6" s="516"/>
      <c r="AX6" s="516"/>
      <c r="AY6" s="516"/>
      <c r="AZ6" s="516"/>
      <c r="BA6" s="516"/>
      <c r="BB6" s="516"/>
      <c r="BC6" s="516"/>
      <c r="BD6" s="516"/>
      <c r="BE6" s="516"/>
      <c r="BF6" s="516"/>
      <c r="BG6" s="516"/>
      <c r="BH6" s="516"/>
      <c r="BI6" s="516"/>
      <c r="BJ6" s="516"/>
      <c r="BK6" s="516"/>
      <c r="BL6" s="516"/>
      <c r="BM6" s="516"/>
      <c r="BN6" s="516"/>
      <c r="BO6" s="516"/>
      <c r="BP6" s="516"/>
      <c r="BQ6" s="516"/>
      <c r="BR6" s="516"/>
    </row>
    <row r="7" spans="2:70" ht="15" customHeight="1">
      <c r="B7" s="1137" t="s">
        <v>63</v>
      </c>
      <c r="C7" s="1137"/>
      <c r="D7" s="1137"/>
      <c r="E7" s="1137"/>
      <c r="F7" s="1137"/>
      <c r="G7" s="1137"/>
      <c r="H7" s="1137"/>
      <c r="I7" s="1137"/>
      <c r="J7" s="1137"/>
      <c r="K7" s="1158" t="str">
        <f>その1!$AM$11</f>
        <v/>
      </c>
      <c r="L7" s="1159"/>
      <c r="M7" s="1159"/>
      <c r="N7" s="1146" t="str">
        <f>その1!R12</f>
        <v/>
      </c>
      <c r="O7" s="1146"/>
      <c r="P7" s="1146"/>
      <c r="Q7" s="1146"/>
      <c r="R7" s="1146"/>
      <c r="S7" s="1146"/>
      <c r="T7" s="1146"/>
      <c r="AA7" s="1141"/>
      <c r="AB7" s="1142"/>
      <c r="AC7" s="1142"/>
      <c r="AD7" s="1142"/>
      <c r="AE7" s="1142"/>
      <c r="AF7" s="1150"/>
      <c r="AK7" s="1154"/>
      <c r="AL7" s="1155"/>
      <c r="AM7" s="1155"/>
      <c r="AN7" s="1155"/>
      <c r="AO7" s="1155"/>
      <c r="AP7" s="1155"/>
      <c r="AQ7" s="1155"/>
      <c r="AR7" s="1155"/>
      <c r="AS7" s="1155"/>
      <c r="AT7" s="1155"/>
      <c r="AU7" s="516"/>
      <c r="AV7" s="516"/>
      <c r="AW7" s="516"/>
      <c r="AX7" s="516"/>
      <c r="AY7" s="516"/>
      <c r="AZ7" s="516"/>
      <c r="BA7" s="516"/>
      <c r="BB7" s="516"/>
      <c r="BC7" s="516"/>
      <c r="BD7" s="516"/>
      <c r="BE7" s="516"/>
      <c r="BF7" s="516"/>
      <c r="BG7" s="516"/>
      <c r="BH7" s="516"/>
      <c r="BI7" s="516"/>
      <c r="BJ7" s="516"/>
      <c r="BK7" s="516"/>
      <c r="BL7" s="516"/>
      <c r="BM7" s="516"/>
      <c r="BN7" s="516"/>
      <c r="BO7" s="516"/>
      <c r="BP7" s="516"/>
      <c r="BQ7" s="516"/>
      <c r="BR7" s="516"/>
    </row>
    <row r="8" spans="2:70" ht="15" customHeight="1">
      <c r="B8" s="1137" t="s">
        <v>64</v>
      </c>
      <c r="C8" s="1137"/>
      <c r="D8" s="1137"/>
      <c r="E8" s="1137"/>
      <c r="F8" s="1137"/>
      <c r="G8" s="1137"/>
      <c r="H8" s="1137"/>
      <c r="I8" s="1137"/>
      <c r="J8" s="1137"/>
      <c r="K8" s="1145" t="str">
        <f>その1!R13</f>
        <v/>
      </c>
      <c r="L8" s="1146"/>
      <c r="M8" s="1146"/>
      <c r="N8" s="1146"/>
      <c r="O8" s="1146"/>
      <c r="P8" s="1146"/>
      <c r="Q8" s="1146"/>
      <c r="R8" s="1146"/>
      <c r="S8" s="1146"/>
      <c r="T8" s="1146"/>
      <c r="AA8" s="1141"/>
      <c r="AB8" s="1142"/>
      <c r="AC8" s="1142"/>
      <c r="AD8" s="1142"/>
      <c r="AE8" s="1142"/>
      <c r="AF8" s="1150"/>
      <c r="AH8" s="517"/>
      <c r="AK8" s="1154"/>
      <c r="AL8" s="1155"/>
      <c r="AM8" s="1155"/>
      <c r="AN8" s="1155"/>
      <c r="AO8" s="1155"/>
      <c r="AP8" s="1155"/>
      <c r="AQ8" s="1155"/>
      <c r="AR8" s="1155"/>
      <c r="AS8" s="1155"/>
      <c r="AT8" s="1155"/>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row>
    <row r="9" spans="2:70" ht="15" customHeight="1">
      <c r="B9" s="1137" t="s">
        <v>385</v>
      </c>
      <c r="C9" s="1137"/>
      <c r="D9" s="1137"/>
      <c r="E9" s="1137"/>
      <c r="F9" s="1137"/>
      <c r="G9" s="1137"/>
      <c r="H9" s="1137"/>
      <c r="I9" s="1137"/>
      <c r="J9" s="1137"/>
      <c r="K9" s="1145" t="str">
        <f>IF(その1!R16="","",その1!R16)</f>
        <v/>
      </c>
      <c r="L9" s="1146"/>
      <c r="M9" s="1146"/>
      <c r="N9" s="1146"/>
      <c r="O9" s="1146"/>
      <c r="P9" s="1146"/>
      <c r="Q9" s="1146"/>
      <c r="R9" s="1146"/>
      <c r="S9" s="1146"/>
      <c r="T9" s="1146"/>
      <c r="AA9" s="1141"/>
      <c r="AB9" s="1142"/>
      <c r="AC9" s="1142"/>
      <c r="AD9" s="1142"/>
      <c r="AE9" s="1142"/>
      <c r="AF9" s="1150"/>
      <c r="AK9" s="1154"/>
      <c r="AL9" s="1155"/>
      <c r="AM9" s="1155"/>
      <c r="AN9" s="1155"/>
      <c r="AO9" s="1155"/>
      <c r="AP9" s="1155"/>
      <c r="AQ9" s="1155"/>
      <c r="AR9" s="1155"/>
      <c r="AS9" s="1155"/>
      <c r="AT9" s="1155"/>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row>
    <row r="10" spans="2:70" ht="15" customHeight="1" thickBot="1">
      <c r="B10" s="1137" t="s">
        <v>386</v>
      </c>
      <c r="C10" s="1137"/>
      <c r="D10" s="1137"/>
      <c r="E10" s="1137"/>
      <c r="F10" s="1137"/>
      <c r="G10" s="1137"/>
      <c r="H10" s="1137"/>
      <c r="I10" s="1137"/>
      <c r="J10" s="1137"/>
      <c r="K10" s="1145" t="str">
        <f>その1!R18</f>
        <v/>
      </c>
      <c r="L10" s="1146"/>
      <c r="M10" s="1146"/>
      <c r="N10" s="1146"/>
      <c r="O10" s="1146"/>
      <c r="P10" s="1146"/>
      <c r="Q10" s="1146"/>
      <c r="R10" s="1146"/>
      <c r="S10" s="1146"/>
      <c r="T10" s="1146"/>
      <c r="Y10" s="1147" t="s">
        <v>65</v>
      </c>
      <c r="Z10" s="1148"/>
      <c r="AA10" s="1143"/>
      <c r="AB10" s="1144"/>
      <c r="AC10" s="1144"/>
      <c r="AD10" s="1144"/>
      <c r="AE10" s="1144"/>
      <c r="AF10" s="1151"/>
      <c r="AK10" s="1156"/>
      <c r="AL10" s="1157"/>
      <c r="AM10" s="1157"/>
      <c r="AN10" s="1157"/>
      <c r="AO10" s="1157"/>
      <c r="AP10" s="1157"/>
      <c r="AQ10" s="1157"/>
      <c r="AR10" s="1157"/>
      <c r="AS10" s="1157"/>
      <c r="AT10" s="1157"/>
      <c r="AU10" s="518"/>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row>
    <row r="11" spans="2:70" ht="15" customHeight="1" thickTop="1">
      <c r="B11" s="519"/>
      <c r="C11" s="519"/>
      <c r="D11" s="519"/>
      <c r="E11" s="519"/>
      <c r="F11" s="519"/>
      <c r="G11" s="519"/>
      <c r="H11" s="519"/>
      <c r="I11" s="519"/>
      <c r="J11" s="519"/>
      <c r="K11" s="519"/>
      <c r="L11" s="519"/>
      <c r="M11" s="519"/>
      <c r="N11" s="519"/>
      <c r="O11" s="519"/>
      <c r="P11" s="519"/>
      <c r="Q11" s="519"/>
      <c r="R11" s="519"/>
      <c r="S11" s="519"/>
      <c r="T11" s="519"/>
      <c r="U11" s="520"/>
      <c r="V11" s="520"/>
      <c r="W11" s="521"/>
      <c r="X11" s="521"/>
      <c r="Y11" s="521"/>
      <c r="Z11" s="522"/>
      <c r="AA11" s="520"/>
      <c r="AB11" s="520"/>
      <c r="AK11" s="523" t="s">
        <v>388</v>
      </c>
      <c r="AL11" s="524" t="s">
        <v>66</v>
      </c>
      <c r="AM11" s="525">
        <f>SUM($AP$16:$AP$54)</f>
        <v>25</v>
      </c>
      <c r="AN11" s="523" t="s">
        <v>389</v>
      </c>
      <c r="AO11" s="524" t="s">
        <v>66</v>
      </c>
      <c r="AP11" s="525">
        <f>SUM($AP$56:$AP$64)</f>
        <v>7</v>
      </c>
      <c r="AQ11" s="523" t="s">
        <v>634</v>
      </c>
      <c r="AR11" s="524" t="s">
        <v>66</v>
      </c>
      <c r="AS11" s="525">
        <f>SUM($AP$66:$AP$99)+SUM($AP$101:$AP$109)</f>
        <v>28</v>
      </c>
      <c r="AT11" s="526">
        <f>SUM(AP111:AP128)</f>
        <v>10</v>
      </c>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row>
    <row r="12" spans="2:70" ht="15" customHeight="1">
      <c r="B12" s="519"/>
      <c r="C12" s="519"/>
      <c r="D12" s="519"/>
      <c r="E12" s="519"/>
      <c r="F12" s="519"/>
      <c r="G12" s="519"/>
      <c r="H12" s="519"/>
      <c r="I12" s="519"/>
      <c r="J12" s="519"/>
      <c r="K12" s="519"/>
      <c r="L12" s="519"/>
      <c r="M12" s="519"/>
      <c r="N12" s="519"/>
      <c r="O12" s="519"/>
      <c r="P12" s="519"/>
      <c r="Q12" s="519"/>
      <c r="R12" s="519"/>
      <c r="S12" s="519"/>
      <c r="T12" s="519"/>
      <c r="AG12" s="521"/>
      <c r="AH12" s="521"/>
      <c r="AI12" s="521"/>
      <c r="AK12" s="523" t="s">
        <v>0</v>
      </c>
      <c r="AL12" s="523" t="s">
        <v>1</v>
      </c>
      <c r="AM12" s="523" t="s">
        <v>2</v>
      </c>
      <c r="AN12" s="523" t="s">
        <v>3</v>
      </c>
      <c r="AO12" s="523" t="s">
        <v>4</v>
      </c>
      <c r="AP12" s="523" t="s">
        <v>5</v>
      </c>
      <c r="AQ12" s="523" t="s">
        <v>6</v>
      </c>
      <c r="AR12" s="523"/>
      <c r="AS12" s="523" t="s">
        <v>7</v>
      </c>
      <c r="AT12" s="523"/>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row>
    <row r="13" spans="2:70" ht="20.100000000000001" customHeight="1">
      <c r="B13" s="1163" t="s">
        <v>8</v>
      </c>
      <c r="C13" s="1163" t="s">
        <v>358</v>
      </c>
      <c r="D13" s="1165"/>
      <c r="E13" s="1165"/>
      <c r="F13" s="1165"/>
      <c r="G13" s="1165"/>
      <c r="H13" s="1165"/>
      <c r="I13" s="1163" t="s">
        <v>67</v>
      </c>
      <c r="J13" s="1165"/>
      <c r="K13" s="1165"/>
      <c r="L13" s="1165"/>
      <c r="M13" s="1165"/>
      <c r="N13" s="1165"/>
      <c r="O13" s="1165"/>
      <c r="P13" s="1165"/>
      <c r="Q13" s="1165"/>
      <c r="R13" s="1165"/>
      <c r="S13" s="1165"/>
      <c r="T13" s="1167"/>
      <c r="U13" s="1163" t="s">
        <v>68</v>
      </c>
      <c r="V13" s="1165"/>
      <c r="W13" s="1165"/>
      <c r="X13" s="1165"/>
      <c r="Y13" s="1165"/>
      <c r="Z13" s="1165"/>
      <c r="AA13" s="1165"/>
      <c r="AB13" s="1165"/>
      <c r="AC13" s="1165"/>
      <c r="AD13" s="1165"/>
      <c r="AE13" s="1165"/>
      <c r="AF13" s="1165"/>
      <c r="AG13" s="1169" t="s">
        <v>69</v>
      </c>
      <c r="AH13" s="1171" t="s">
        <v>70</v>
      </c>
      <c r="AI13" s="1233" t="s">
        <v>71</v>
      </c>
      <c r="AJ13" s="527"/>
      <c r="AK13" s="1225" t="s">
        <v>72</v>
      </c>
      <c r="AL13" s="1160" t="s">
        <v>73</v>
      </c>
      <c r="AM13" s="1160" t="s">
        <v>101</v>
      </c>
      <c r="AN13" s="1160" t="s">
        <v>74</v>
      </c>
      <c r="AO13" s="1160" t="s">
        <v>75</v>
      </c>
      <c r="AP13" s="1160" t="s">
        <v>76</v>
      </c>
      <c r="AQ13" s="1221" t="s">
        <v>77</v>
      </c>
      <c r="AR13" s="1223" t="s">
        <v>78</v>
      </c>
      <c r="AS13" s="1225" t="s">
        <v>79</v>
      </c>
      <c r="AT13" s="1223" t="s">
        <v>80</v>
      </c>
      <c r="AU13" s="516"/>
      <c r="AV13" s="1227" t="s">
        <v>68</v>
      </c>
      <c r="AW13" s="1228"/>
      <c r="AX13" s="1228"/>
      <c r="AY13" s="1228"/>
      <c r="AZ13" s="1229"/>
      <c r="BA13" s="516"/>
      <c r="BB13" s="516"/>
      <c r="BC13" s="516"/>
      <c r="BD13" s="516"/>
      <c r="BE13" s="516"/>
      <c r="BF13" s="516"/>
      <c r="BG13" s="516"/>
      <c r="BH13" s="516"/>
      <c r="BI13" s="516"/>
      <c r="BJ13" s="516"/>
      <c r="BK13" s="516"/>
      <c r="BL13" s="516"/>
      <c r="BM13" s="516"/>
      <c r="BN13" s="1183" t="s">
        <v>68</v>
      </c>
      <c r="BO13" s="1184"/>
      <c r="BP13" s="1184"/>
      <c r="BQ13" s="1185"/>
      <c r="BR13" s="516"/>
    </row>
    <row r="14" spans="2:70" ht="20.100000000000001" customHeight="1" thickBot="1">
      <c r="B14" s="1164"/>
      <c r="C14" s="1164"/>
      <c r="D14" s="1166"/>
      <c r="E14" s="1166"/>
      <c r="F14" s="1166"/>
      <c r="G14" s="1166"/>
      <c r="H14" s="1166"/>
      <c r="I14" s="1164"/>
      <c r="J14" s="1166"/>
      <c r="K14" s="1166"/>
      <c r="L14" s="1166"/>
      <c r="M14" s="1166"/>
      <c r="N14" s="1166"/>
      <c r="O14" s="1166"/>
      <c r="P14" s="1166"/>
      <c r="Q14" s="1166"/>
      <c r="R14" s="1166"/>
      <c r="S14" s="1166"/>
      <c r="T14" s="1168"/>
      <c r="U14" s="1164"/>
      <c r="V14" s="1166"/>
      <c r="W14" s="1166"/>
      <c r="X14" s="1166"/>
      <c r="Y14" s="1166"/>
      <c r="Z14" s="1166"/>
      <c r="AA14" s="1166"/>
      <c r="AB14" s="1166"/>
      <c r="AC14" s="1166"/>
      <c r="AD14" s="1166"/>
      <c r="AE14" s="1166"/>
      <c r="AF14" s="1166"/>
      <c r="AG14" s="1170"/>
      <c r="AH14" s="1172"/>
      <c r="AI14" s="1234"/>
      <c r="AJ14" s="527"/>
      <c r="AK14" s="1226"/>
      <c r="AL14" s="1161"/>
      <c r="AM14" s="1161"/>
      <c r="AN14" s="1162"/>
      <c r="AO14" s="1161"/>
      <c r="AP14" s="1161"/>
      <c r="AQ14" s="1222"/>
      <c r="AR14" s="1224"/>
      <c r="AS14" s="1226"/>
      <c r="AT14" s="1224"/>
      <c r="AU14" s="516"/>
      <c r="AV14" s="1230"/>
      <c r="AW14" s="1231"/>
      <c r="AX14" s="1231"/>
      <c r="AY14" s="1231"/>
      <c r="AZ14" s="1232"/>
      <c r="BA14" s="516"/>
      <c r="BB14" s="516"/>
      <c r="BC14" s="516"/>
      <c r="BD14" s="516"/>
      <c r="BE14" s="516"/>
      <c r="BF14" s="516"/>
      <c r="BG14" s="516"/>
      <c r="BH14" s="516"/>
      <c r="BI14" s="516"/>
      <c r="BJ14" s="516"/>
      <c r="BK14" s="516"/>
      <c r="BL14" s="516"/>
      <c r="BM14" s="516"/>
      <c r="BN14" s="1186"/>
      <c r="BO14" s="1187"/>
      <c r="BP14" s="1187"/>
      <c r="BQ14" s="1188"/>
      <c r="BR14" s="516"/>
    </row>
    <row r="15" spans="2:70" ht="20.25" customHeight="1" thickTop="1">
      <c r="B15" s="528" t="s">
        <v>699</v>
      </c>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30"/>
      <c r="AH15" s="530"/>
      <c r="AI15" s="531"/>
      <c r="AJ15" s="527"/>
      <c r="AK15" s="532"/>
      <c r="AL15" s="533"/>
      <c r="AM15" s="534"/>
      <c r="AN15" s="534"/>
      <c r="AO15" s="533"/>
      <c r="AP15" s="533"/>
      <c r="AQ15" s="534"/>
      <c r="AR15" s="535">
        <f>SUM(AR16:AR54)</f>
        <v>25</v>
      </c>
      <c r="AS15" s="533"/>
      <c r="AT15" s="536">
        <f>SUM(AT16:AT54)</f>
        <v>0</v>
      </c>
      <c r="AU15" s="516"/>
      <c r="AV15" s="537"/>
      <c r="AW15" s="538"/>
      <c r="AX15" s="538"/>
      <c r="AY15" s="538"/>
      <c r="AZ15" s="539"/>
      <c r="BA15" s="516"/>
      <c r="BB15" s="516"/>
      <c r="BC15" s="516"/>
      <c r="BD15" s="516"/>
      <c r="BE15" s="516"/>
      <c r="BF15" s="516"/>
      <c r="BG15" s="516"/>
      <c r="BH15" s="516"/>
      <c r="BI15" s="516"/>
      <c r="BJ15" s="516"/>
      <c r="BK15" s="516"/>
      <c r="BL15" s="516"/>
      <c r="BM15" s="516"/>
      <c r="BN15" s="540"/>
      <c r="BO15" s="541"/>
      <c r="BP15" s="541"/>
      <c r="BQ15" s="542"/>
      <c r="BR15" s="516"/>
    </row>
    <row r="16" spans="2:70" ht="26.1" customHeight="1">
      <c r="B16" s="1189">
        <v>1</v>
      </c>
      <c r="C16" s="1191" t="s">
        <v>81</v>
      </c>
      <c r="D16" s="1192"/>
      <c r="E16" s="1193"/>
      <c r="F16" s="1199" t="s">
        <v>494</v>
      </c>
      <c r="G16" s="1200"/>
      <c r="H16" s="1201"/>
      <c r="I16" s="1205" t="s">
        <v>499</v>
      </c>
      <c r="J16" s="1206"/>
      <c r="K16" s="1206"/>
      <c r="L16" s="1206"/>
      <c r="M16" s="1206"/>
      <c r="N16" s="1206"/>
      <c r="O16" s="1206"/>
      <c r="P16" s="1206"/>
      <c r="Q16" s="1206"/>
      <c r="R16" s="1206"/>
      <c r="S16" s="1206"/>
      <c r="T16" s="1207"/>
      <c r="U16" s="1205" t="s">
        <v>498</v>
      </c>
      <c r="V16" s="1206"/>
      <c r="W16" s="1206"/>
      <c r="X16" s="1206"/>
      <c r="Y16" s="1206"/>
      <c r="Z16" s="1206"/>
      <c r="AA16" s="1206"/>
      <c r="AB16" s="1206"/>
      <c r="AC16" s="1206"/>
      <c r="AD16" s="1206"/>
      <c r="AE16" s="1206"/>
      <c r="AF16" s="1211"/>
      <c r="AG16" s="1213"/>
      <c r="AH16" s="1215"/>
      <c r="AI16" s="1217"/>
      <c r="AJ16" s="527"/>
      <c r="AK16" s="1219">
        <v>3</v>
      </c>
      <c r="AL16" s="1173">
        <v>3</v>
      </c>
      <c r="AM16" s="1175">
        <f>IF($AG16="該当無",0,1)</f>
        <v>1</v>
      </c>
      <c r="AN16" s="1176">
        <v>1</v>
      </c>
      <c r="AO16" s="1178"/>
      <c r="AP16" s="1175">
        <f>$AK16*$AM16*$AN16</f>
        <v>3</v>
      </c>
      <c r="AQ16" s="1181">
        <f t="shared" ref="AQ16" si="0">$AP16*25/$AM$11</f>
        <v>3</v>
      </c>
      <c r="AR16" s="1241">
        <f>SUM(AQ16:AQ30)</f>
        <v>12</v>
      </c>
      <c r="AS16" s="1243">
        <f>IF($AG16=-1,$AG16*$AO16,IF($AP16=0,0,$AG16/$AL16*$AQ16))</f>
        <v>0</v>
      </c>
      <c r="AT16" s="1245">
        <f>SUM(AS16:AS30)</f>
        <v>0</v>
      </c>
      <c r="AU16" s="516"/>
      <c r="AV16" s="1247">
        <v>3</v>
      </c>
      <c r="AW16" s="1235">
        <v>2</v>
      </c>
      <c r="AX16" s="1235">
        <v>1</v>
      </c>
      <c r="AY16" s="1235">
        <v>0</v>
      </c>
      <c r="AZ16" s="1237"/>
      <c r="BA16" s="516"/>
      <c r="BB16" s="516"/>
      <c r="BC16" s="516"/>
      <c r="BD16" s="516"/>
      <c r="BE16" s="516"/>
      <c r="BF16" s="516"/>
      <c r="BG16" s="516"/>
      <c r="BH16" s="516"/>
      <c r="BI16" s="516"/>
      <c r="BJ16" s="516"/>
      <c r="BK16" s="516"/>
      <c r="BL16" s="516"/>
      <c r="BM16" s="516"/>
      <c r="BN16" s="1239" t="str">
        <f>IF($AG16=0,"今年度","")</f>
        <v>今年度</v>
      </c>
      <c r="BO16" s="1174" t="str">
        <f>IF($AG16=0,"来年度","")</f>
        <v>来年度</v>
      </c>
      <c r="BP16" s="1174" t="str">
        <f>IF($AG16=0,"再来年度","")</f>
        <v>再来年度</v>
      </c>
      <c r="BQ16" s="1240" t="str">
        <f>IF($AG16=0,"未定","")</f>
        <v>未定</v>
      </c>
      <c r="BR16" s="516"/>
    </row>
    <row r="17" spans="2:70" ht="26.1" customHeight="1">
      <c r="B17" s="1190"/>
      <c r="C17" s="1194"/>
      <c r="D17" s="1195"/>
      <c r="E17" s="1196"/>
      <c r="F17" s="1202"/>
      <c r="G17" s="1203"/>
      <c r="H17" s="1204"/>
      <c r="I17" s="1208"/>
      <c r="J17" s="1209"/>
      <c r="K17" s="1209"/>
      <c r="L17" s="1209"/>
      <c r="M17" s="1209"/>
      <c r="N17" s="1209"/>
      <c r="O17" s="1209"/>
      <c r="P17" s="1209"/>
      <c r="Q17" s="1209"/>
      <c r="R17" s="1209"/>
      <c r="S17" s="1209"/>
      <c r="T17" s="1210"/>
      <c r="U17" s="1208"/>
      <c r="V17" s="1209"/>
      <c r="W17" s="1209"/>
      <c r="X17" s="1209"/>
      <c r="Y17" s="1209"/>
      <c r="Z17" s="1209"/>
      <c r="AA17" s="1209"/>
      <c r="AB17" s="1209"/>
      <c r="AC17" s="1209"/>
      <c r="AD17" s="1209"/>
      <c r="AE17" s="1209"/>
      <c r="AF17" s="1212"/>
      <c r="AG17" s="1214"/>
      <c r="AH17" s="1216"/>
      <c r="AI17" s="1218"/>
      <c r="AJ17" s="527"/>
      <c r="AK17" s="1220"/>
      <c r="AL17" s="1174"/>
      <c r="AM17" s="1174"/>
      <c r="AN17" s="1177"/>
      <c r="AO17" s="1179"/>
      <c r="AP17" s="1174"/>
      <c r="AQ17" s="1182"/>
      <c r="AR17" s="1242"/>
      <c r="AS17" s="1244"/>
      <c r="AT17" s="1246"/>
      <c r="AU17" s="516"/>
      <c r="AV17" s="1248"/>
      <c r="AW17" s="1236"/>
      <c r="AX17" s="1236"/>
      <c r="AY17" s="1236"/>
      <c r="AZ17" s="1238"/>
      <c r="BA17" s="516"/>
      <c r="BB17" s="516"/>
      <c r="BC17" s="516"/>
      <c r="BD17" s="516"/>
      <c r="BE17" s="516"/>
      <c r="BF17" s="516"/>
      <c r="BG17" s="516"/>
      <c r="BH17" s="516"/>
      <c r="BI17" s="516"/>
      <c r="BJ17" s="516"/>
      <c r="BK17" s="516"/>
      <c r="BL17" s="516"/>
      <c r="BM17" s="516"/>
      <c r="BN17" s="1239"/>
      <c r="BO17" s="1174"/>
      <c r="BP17" s="1174"/>
      <c r="BQ17" s="1240"/>
      <c r="BR17" s="516"/>
    </row>
    <row r="18" spans="2:70" ht="26.1" customHeight="1">
      <c r="B18" s="1190"/>
      <c r="C18" s="1194"/>
      <c r="D18" s="1195"/>
      <c r="E18" s="1196"/>
      <c r="F18" s="1202"/>
      <c r="G18" s="1203"/>
      <c r="H18" s="1204"/>
      <c r="I18" s="1208"/>
      <c r="J18" s="1209"/>
      <c r="K18" s="1209"/>
      <c r="L18" s="1209"/>
      <c r="M18" s="1209"/>
      <c r="N18" s="1209"/>
      <c r="O18" s="1209"/>
      <c r="P18" s="1209"/>
      <c r="Q18" s="1209"/>
      <c r="R18" s="1209"/>
      <c r="S18" s="1209"/>
      <c r="T18" s="1210"/>
      <c r="U18" s="1208"/>
      <c r="V18" s="1209"/>
      <c r="W18" s="1209"/>
      <c r="X18" s="1209"/>
      <c r="Y18" s="1209"/>
      <c r="Z18" s="1209"/>
      <c r="AA18" s="1209"/>
      <c r="AB18" s="1209"/>
      <c r="AC18" s="1209"/>
      <c r="AD18" s="1209"/>
      <c r="AE18" s="1209"/>
      <c r="AF18" s="1212"/>
      <c r="AG18" s="1214"/>
      <c r="AH18" s="1216"/>
      <c r="AI18" s="1218"/>
      <c r="AJ18" s="527"/>
      <c r="AK18" s="1220"/>
      <c r="AL18" s="1174"/>
      <c r="AM18" s="1174"/>
      <c r="AN18" s="1177"/>
      <c r="AO18" s="1180"/>
      <c r="AP18" s="1174"/>
      <c r="AQ18" s="1182"/>
      <c r="AR18" s="1242"/>
      <c r="AS18" s="1244"/>
      <c r="AT18" s="1246"/>
      <c r="AU18" s="516"/>
      <c r="AV18" s="1248"/>
      <c r="AW18" s="1236"/>
      <c r="AX18" s="1236"/>
      <c r="AY18" s="1236"/>
      <c r="AZ18" s="1238"/>
      <c r="BA18" s="516"/>
      <c r="BB18" s="516"/>
      <c r="BC18" s="516"/>
      <c r="BD18" s="516"/>
      <c r="BE18" s="516"/>
      <c r="BF18" s="516"/>
      <c r="BG18" s="516"/>
      <c r="BH18" s="516"/>
      <c r="BI18" s="516"/>
      <c r="BJ18" s="516"/>
      <c r="BK18" s="516"/>
      <c r="BL18" s="516"/>
      <c r="BM18" s="516"/>
      <c r="BN18" s="1239"/>
      <c r="BO18" s="1174"/>
      <c r="BP18" s="1174"/>
      <c r="BQ18" s="1240"/>
      <c r="BR18" s="516"/>
    </row>
    <row r="19" spans="2:70" ht="15" customHeight="1">
      <c r="B19" s="1190">
        <v>2</v>
      </c>
      <c r="C19" s="1194"/>
      <c r="D19" s="1195"/>
      <c r="E19" s="1196"/>
      <c r="F19" s="1202"/>
      <c r="G19" s="1203"/>
      <c r="H19" s="1204"/>
      <c r="I19" s="1208" t="s">
        <v>492</v>
      </c>
      <c r="J19" s="1209"/>
      <c r="K19" s="1209"/>
      <c r="L19" s="1209"/>
      <c r="M19" s="1209"/>
      <c r="N19" s="1209"/>
      <c r="O19" s="1209"/>
      <c r="P19" s="1209"/>
      <c r="Q19" s="1209"/>
      <c r="R19" s="1209"/>
      <c r="S19" s="1209"/>
      <c r="T19" s="1210"/>
      <c r="U19" s="1250" t="s">
        <v>635</v>
      </c>
      <c r="V19" s="1251"/>
      <c r="W19" s="1251"/>
      <c r="X19" s="1251"/>
      <c r="Y19" s="1251"/>
      <c r="Z19" s="1251"/>
      <c r="AA19" s="1251"/>
      <c r="AB19" s="1251"/>
      <c r="AC19" s="1251"/>
      <c r="AD19" s="1251"/>
      <c r="AE19" s="1251"/>
      <c r="AF19" s="1252"/>
      <c r="AG19" s="1214"/>
      <c r="AH19" s="1216"/>
      <c r="AI19" s="1218"/>
      <c r="AK19" s="1220">
        <v>1</v>
      </c>
      <c r="AL19" s="1174">
        <v>1</v>
      </c>
      <c r="AM19" s="1175">
        <f>IF($AG19="該当無",0,1)</f>
        <v>1</v>
      </c>
      <c r="AN19" s="1177">
        <v>1</v>
      </c>
      <c r="AO19" s="1249"/>
      <c r="AP19" s="1174">
        <f>$AK19*$AM19*$AN19</f>
        <v>1</v>
      </c>
      <c r="AQ19" s="1181">
        <f t="shared" ref="AQ19" si="1">$AP19*25/$AM$11</f>
        <v>1</v>
      </c>
      <c r="AR19" s="1265"/>
      <c r="AS19" s="1266">
        <f>IF($AG19=-1,$AG19*$AO19,IF($AP19=0,0,$AG19/$AL19*$AQ19))</f>
        <v>0</v>
      </c>
      <c r="AT19" s="1268"/>
      <c r="AU19" s="516"/>
      <c r="AV19" s="1269">
        <f>IF($AG$16=0,0,1)</f>
        <v>0</v>
      </c>
      <c r="AW19" s="1261">
        <v>0</v>
      </c>
      <c r="AX19" s="1261"/>
      <c r="AY19" s="1261"/>
      <c r="AZ19" s="1263"/>
      <c r="BA19" s="516"/>
      <c r="BB19" s="516"/>
      <c r="BC19" s="516"/>
      <c r="BD19" s="516"/>
      <c r="BE19" s="516"/>
      <c r="BF19" s="516"/>
      <c r="BG19" s="516"/>
      <c r="BH19" s="516"/>
      <c r="BI19" s="516"/>
      <c r="BJ19" s="516"/>
      <c r="BK19" s="516"/>
      <c r="BL19" s="516"/>
      <c r="BM19" s="516"/>
      <c r="BN19" s="1239" t="str">
        <f>IF($AG19=0,"今年度","")</f>
        <v>今年度</v>
      </c>
      <c r="BO19" s="1174" t="str">
        <f>IF($AG19=0,"来年度","")</f>
        <v>来年度</v>
      </c>
      <c r="BP19" s="1174" t="str">
        <f>IF($AG19=0,"再来年度","")</f>
        <v>再来年度</v>
      </c>
      <c r="BQ19" s="1240" t="str">
        <f>IF($AG19=0,"未定","")</f>
        <v>未定</v>
      </c>
      <c r="BR19" s="516"/>
    </row>
    <row r="20" spans="2:70" ht="15" customHeight="1">
      <c r="B20" s="1190"/>
      <c r="C20" s="1194"/>
      <c r="D20" s="1195"/>
      <c r="E20" s="1196"/>
      <c r="F20" s="1202"/>
      <c r="G20" s="1203"/>
      <c r="H20" s="1204"/>
      <c r="I20" s="1208"/>
      <c r="J20" s="1209"/>
      <c r="K20" s="1209"/>
      <c r="L20" s="1209"/>
      <c r="M20" s="1209"/>
      <c r="N20" s="1209"/>
      <c r="O20" s="1209"/>
      <c r="P20" s="1209"/>
      <c r="Q20" s="1209"/>
      <c r="R20" s="1209"/>
      <c r="S20" s="1209"/>
      <c r="T20" s="1210"/>
      <c r="U20" s="1250"/>
      <c r="V20" s="1251"/>
      <c r="W20" s="1251"/>
      <c r="X20" s="1251"/>
      <c r="Y20" s="1251"/>
      <c r="Z20" s="1251"/>
      <c r="AA20" s="1251"/>
      <c r="AB20" s="1251"/>
      <c r="AC20" s="1251"/>
      <c r="AD20" s="1251"/>
      <c r="AE20" s="1251"/>
      <c r="AF20" s="1252"/>
      <c r="AG20" s="1214"/>
      <c r="AH20" s="1216"/>
      <c r="AI20" s="1218"/>
      <c r="AK20" s="1220"/>
      <c r="AL20" s="1174"/>
      <c r="AM20" s="1174"/>
      <c r="AN20" s="1177"/>
      <c r="AO20" s="1179"/>
      <c r="AP20" s="1174"/>
      <c r="AQ20" s="1182"/>
      <c r="AR20" s="1242"/>
      <c r="AS20" s="1267"/>
      <c r="AT20" s="1246"/>
      <c r="AU20" s="516"/>
      <c r="AV20" s="1270"/>
      <c r="AW20" s="1236"/>
      <c r="AX20" s="1236"/>
      <c r="AY20" s="1236"/>
      <c r="AZ20" s="1238"/>
      <c r="BA20" s="516"/>
      <c r="BB20" s="516"/>
      <c r="BC20" s="516"/>
      <c r="BD20" s="516"/>
      <c r="BE20" s="516"/>
      <c r="BF20" s="516"/>
      <c r="BG20" s="516"/>
      <c r="BH20" s="516"/>
      <c r="BI20" s="516"/>
      <c r="BJ20" s="516"/>
      <c r="BK20" s="516"/>
      <c r="BL20" s="516"/>
      <c r="BM20" s="516"/>
      <c r="BN20" s="1239"/>
      <c r="BO20" s="1174"/>
      <c r="BP20" s="1174"/>
      <c r="BQ20" s="1240"/>
      <c r="BR20" s="516"/>
    </row>
    <row r="21" spans="2:70" ht="15" customHeight="1">
      <c r="B21" s="1190"/>
      <c r="C21" s="1194"/>
      <c r="D21" s="1195"/>
      <c r="E21" s="1196"/>
      <c r="F21" s="1202"/>
      <c r="G21" s="1203"/>
      <c r="H21" s="1204"/>
      <c r="I21" s="1208"/>
      <c r="J21" s="1209"/>
      <c r="K21" s="1209"/>
      <c r="L21" s="1209"/>
      <c r="M21" s="1209"/>
      <c r="N21" s="1209"/>
      <c r="O21" s="1209"/>
      <c r="P21" s="1209"/>
      <c r="Q21" s="1209"/>
      <c r="R21" s="1209"/>
      <c r="S21" s="1209"/>
      <c r="T21" s="1210"/>
      <c r="U21" s="1250"/>
      <c r="V21" s="1251"/>
      <c r="W21" s="1251"/>
      <c r="X21" s="1251"/>
      <c r="Y21" s="1251"/>
      <c r="Z21" s="1251"/>
      <c r="AA21" s="1251"/>
      <c r="AB21" s="1251"/>
      <c r="AC21" s="1251"/>
      <c r="AD21" s="1251"/>
      <c r="AE21" s="1251"/>
      <c r="AF21" s="1252"/>
      <c r="AG21" s="1214"/>
      <c r="AH21" s="1216"/>
      <c r="AI21" s="1218"/>
      <c r="AK21" s="1220"/>
      <c r="AL21" s="1174"/>
      <c r="AM21" s="1174"/>
      <c r="AN21" s="1177"/>
      <c r="AO21" s="1180"/>
      <c r="AP21" s="1174"/>
      <c r="AQ21" s="1182"/>
      <c r="AR21" s="1242"/>
      <c r="AS21" s="1243"/>
      <c r="AT21" s="1246"/>
      <c r="AU21" s="516"/>
      <c r="AV21" s="1271"/>
      <c r="AW21" s="1262"/>
      <c r="AX21" s="1262"/>
      <c r="AY21" s="1262"/>
      <c r="AZ21" s="1264"/>
      <c r="BA21" s="516"/>
      <c r="BB21" s="516"/>
      <c r="BC21" s="516"/>
      <c r="BD21" s="516"/>
      <c r="BE21" s="516"/>
      <c r="BF21" s="516"/>
      <c r="BG21" s="516"/>
      <c r="BH21" s="516"/>
      <c r="BI21" s="516"/>
      <c r="BJ21" s="516"/>
      <c r="BK21" s="516"/>
      <c r="BL21" s="516"/>
      <c r="BM21" s="516"/>
      <c r="BN21" s="1239"/>
      <c r="BO21" s="1174"/>
      <c r="BP21" s="1174"/>
      <c r="BQ21" s="1240"/>
      <c r="BR21" s="516"/>
    </row>
    <row r="22" spans="2:70" s="544" customFormat="1" ht="23.1" customHeight="1">
      <c r="B22" s="1190">
        <v>3</v>
      </c>
      <c r="C22" s="1194"/>
      <c r="D22" s="1195"/>
      <c r="E22" s="1196"/>
      <c r="F22" s="1253" t="s">
        <v>495</v>
      </c>
      <c r="G22" s="1254"/>
      <c r="H22" s="1255"/>
      <c r="I22" s="1256" t="s">
        <v>511</v>
      </c>
      <c r="J22" s="1257"/>
      <c r="K22" s="1257"/>
      <c r="L22" s="1257"/>
      <c r="M22" s="1257"/>
      <c r="N22" s="1257"/>
      <c r="O22" s="1257"/>
      <c r="P22" s="1257"/>
      <c r="Q22" s="1257"/>
      <c r="R22" s="1257"/>
      <c r="S22" s="1257"/>
      <c r="T22" s="1258"/>
      <c r="U22" s="1256" t="s">
        <v>636</v>
      </c>
      <c r="V22" s="1257"/>
      <c r="W22" s="1257"/>
      <c r="X22" s="1257"/>
      <c r="Y22" s="1257"/>
      <c r="Z22" s="1257"/>
      <c r="AA22" s="1257"/>
      <c r="AB22" s="1257"/>
      <c r="AC22" s="1257"/>
      <c r="AD22" s="1257"/>
      <c r="AE22" s="1257"/>
      <c r="AF22" s="1259"/>
      <c r="AG22" s="1214"/>
      <c r="AH22" s="1216"/>
      <c r="AI22" s="1218"/>
      <c r="AJ22" s="543"/>
      <c r="AK22" s="1260">
        <v>2</v>
      </c>
      <c r="AL22" s="1174">
        <v>2</v>
      </c>
      <c r="AM22" s="1277">
        <f>IF($AG22="該当無",0,1)</f>
        <v>1</v>
      </c>
      <c r="AN22" s="1177">
        <v>1</v>
      </c>
      <c r="AO22" s="1249"/>
      <c r="AP22" s="1174">
        <f>$AK22*$AM22*$AN22</f>
        <v>2</v>
      </c>
      <c r="AQ22" s="1279">
        <f t="shared" ref="AQ22" si="2">$AP22*25/$AM$11</f>
        <v>2</v>
      </c>
      <c r="AR22" s="1265"/>
      <c r="AS22" s="1266">
        <f>IF($AG22=-1,$AG22*$AO22,IF($AP22=0,0,$AG22/$AL22*$AQ22))</f>
        <v>0</v>
      </c>
      <c r="AT22" s="1268"/>
      <c r="AU22" s="516"/>
      <c r="AV22" s="1275">
        <v>2</v>
      </c>
      <c r="AW22" s="1277">
        <v>1</v>
      </c>
      <c r="AX22" s="1277">
        <v>0</v>
      </c>
      <c r="AY22" s="1277"/>
      <c r="AZ22" s="1263"/>
      <c r="BA22" s="516"/>
      <c r="BB22" s="516"/>
      <c r="BC22" s="516"/>
      <c r="BD22" s="516"/>
      <c r="BE22" s="516"/>
      <c r="BF22" s="516"/>
      <c r="BG22" s="516"/>
      <c r="BH22" s="516"/>
      <c r="BI22" s="516"/>
      <c r="BJ22" s="516"/>
      <c r="BK22" s="516"/>
      <c r="BL22" s="516"/>
      <c r="BM22" s="516"/>
      <c r="BN22" s="1239" t="str">
        <f>IF($AG22=0,"今年度","")</f>
        <v>今年度</v>
      </c>
      <c r="BO22" s="1174" t="str">
        <f>IF($AG22=0,"来年度","")</f>
        <v>来年度</v>
      </c>
      <c r="BP22" s="1174" t="str">
        <f>IF($AG22=0,"再来年度","")</f>
        <v>再来年度</v>
      </c>
      <c r="BQ22" s="1240" t="str">
        <f>IF($AG22=0,"未定","")</f>
        <v>未定</v>
      </c>
      <c r="BR22" s="516"/>
    </row>
    <row r="23" spans="2:70" s="544" customFormat="1" ht="23.1" customHeight="1">
      <c r="B23" s="1190"/>
      <c r="C23" s="1194"/>
      <c r="D23" s="1195"/>
      <c r="E23" s="1196"/>
      <c r="F23" s="1253"/>
      <c r="G23" s="1254"/>
      <c r="H23" s="1255"/>
      <c r="I23" s="1256"/>
      <c r="J23" s="1257"/>
      <c r="K23" s="1257"/>
      <c r="L23" s="1257"/>
      <c r="M23" s="1257"/>
      <c r="N23" s="1257"/>
      <c r="O23" s="1257"/>
      <c r="P23" s="1257"/>
      <c r="Q23" s="1257"/>
      <c r="R23" s="1257"/>
      <c r="S23" s="1257"/>
      <c r="T23" s="1258"/>
      <c r="U23" s="1256"/>
      <c r="V23" s="1257"/>
      <c r="W23" s="1257"/>
      <c r="X23" s="1257"/>
      <c r="Y23" s="1257"/>
      <c r="Z23" s="1257"/>
      <c r="AA23" s="1257"/>
      <c r="AB23" s="1257"/>
      <c r="AC23" s="1257"/>
      <c r="AD23" s="1257"/>
      <c r="AE23" s="1257"/>
      <c r="AF23" s="1259"/>
      <c r="AG23" s="1214"/>
      <c r="AH23" s="1216"/>
      <c r="AI23" s="1218"/>
      <c r="AJ23" s="543"/>
      <c r="AK23" s="1260"/>
      <c r="AL23" s="1174"/>
      <c r="AM23" s="1278"/>
      <c r="AN23" s="1177"/>
      <c r="AO23" s="1179"/>
      <c r="AP23" s="1174"/>
      <c r="AQ23" s="1280"/>
      <c r="AR23" s="1242"/>
      <c r="AS23" s="1267"/>
      <c r="AT23" s="1246"/>
      <c r="AU23" s="516"/>
      <c r="AV23" s="1248"/>
      <c r="AW23" s="1278"/>
      <c r="AX23" s="1278"/>
      <c r="AY23" s="1278"/>
      <c r="AZ23" s="1238"/>
      <c r="BA23" s="516"/>
      <c r="BB23" s="516"/>
      <c r="BC23" s="516"/>
      <c r="BD23" s="516"/>
      <c r="BE23" s="516"/>
      <c r="BF23" s="516"/>
      <c r="BG23" s="516"/>
      <c r="BH23" s="516"/>
      <c r="BI23" s="516"/>
      <c r="BJ23" s="516"/>
      <c r="BK23" s="516"/>
      <c r="BL23" s="516"/>
      <c r="BM23" s="516"/>
      <c r="BN23" s="1239"/>
      <c r="BO23" s="1174"/>
      <c r="BP23" s="1174"/>
      <c r="BQ23" s="1240"/>
      <c r="BR23" s="516"/>
    </row>
    <row r="24" spans="2:70" s="544" customFormat="1" ht="25.15" customHeight="1">
      <c r="B24" s="1190"/>
      <c r="C24" s="1194"/>
      <c r="D24" s="1195"/>
      <c r="E24" s="1196"/>
      <c r="F24" s="1253"/>
      <c r="G24" s="1254"/>
      <c r="H24" s="1255"/>
      <c r="I24" s="1256"/>
      <c r="J24" s="1257"/>
      <c r="K24" s="1257"/>
      <c r="L24" s="1257"/>
      <c r="M24" s="1257"/>
      <c r="N24" s="1257"/>
      <c r="O24" s="1257"/>
      <c r="P24" s="1257"/>
      <c r="Q24" s="1257"/>
      <c r="R24" s="1257"/>
      <c r="S24" s="1257"/>
      <c r="T24" s="1258"/>
      <c r="U24" s="1256"/>
      <c r="V24" s="1257"/>
      <c r="W24" s="1257"/>
      <c r="X24" s="1257"/>
      <c r="Y24" s="1257"/>
      <c r="Z24" s="1257"/>
      <c r="AA24" s="1257"/>
      <c r="AB24" s="1257"/>
      <c r="AC24" s="1257"/>
      <c r="AD24" s="1257"/>
      <c r="AE24" s="1257"/>
      <c r="AF24" s="1259"/>
      <c r="AG24" s="1214"/>
      <c r="AH24" s="1216"/>
      <c r="AI24" s="1218"/>
      <c r="AJ24" s="543"/>
      <c r="AK24" s="1260"/>
      <c r="AL24" s="1174"/>
      <c r="AM24" s="1175"/>
      <c r="AN24" s="1177"/>
      <c r="AO24" s="1180"/>
      <c r="AP24" s="1174"/>
      <c r="AQ24" s="1181"/>
      <c r="AR24" s="1242"/>
      <c r="AS24" s="1243"/>
      <c r="AT24" s="1246"/>
      <c r="AU24" s="516"/>
      <c r="AV24" s="1276"/>
      <c r="AW24" s="1175"/>
      <c r="AX24" s="1175"/>
      <c r="AY24" s="1175"/>
      <c r="AZ24" s="1264"/>
      <c r="BA24" s="516"/>
      <c r="BB24" s="516"/>
      <c r="BC24" s="516"/>
      <c r="BD24" s="516"/>
      <c r="BE24" s="516"/>
      <c r="BF24" s="516"/>
      <c r="BG24" s="516"/>
      <c r="BH24" s="516"/>
      <c r="BI24" s="516"/>
      <c r="BJ24" s="516"/>
      <c r="BK24" s="516"/>
      <c r="BL24" s="516"/>
      <c r="BM24" s="516"/>
      <c r="BN24" s="1239"/>
      <c r="BO24" s="1174"/>
      <c r="BP24" s="1174"/>
      <c r="BQ24" s="1240"/>
      <c r="BR24" s="516"/>
    </row>
    <row r="25" spans="2:70" s="544" customFormat="1" ht="25.5" customHeight="1">
      <c r="B25" s="1190">
        <f>MAX($B$16:B22)+1</f>
        <v>4</v>
      </c>
      <c r="C25" s="1194"/>
      <c r="D25" s="1195"/>
      <c r="E25" s="1196"/>
      <c r="F25" s="1253" t="s">
        <v>493</v>
      </c>
      <c r="G25" s="1254"/>
      <c r="H25" s="1255"/>
      <c r="I25" s="1256" t="s">
        <v>601</v>
      </c>
      <c r="J25" s="1257"/>
      <c r="K25" s="1257"/>
      <c r="L25" s="1257"/>
      <c r="M25" s="1257"/>
      <c r="N25" s="1257"/>
      <c r="O25" s="1257"/>
      <c r="P25" s="1257"/>
      <c r="Q25" s="1257"/>
      <c r="R25" s="1257"/>
      <c r="S25" s="1257"/>
      <c r="T25" s="1258"/>
      <c r="U25" s="1272" t="s">
        <v>82</v>
      </c>
      <c r="V25" s="1273"/>
      <c r="W25" s="1273"/>
      <c r="X25" s="1273"/>
      <c r="Y25" s="1273"/>
      <c r="Z25" s="1273"/>
      <c r="AA25" s="1273"/>
      <c r="AB25" s="1273"/>
      <c r="AC25" s="1273"/>
      <c r="AD25" s="1273"/>
      <c r="AE25" s="1273"/>
      <c r="AF25" s="1274"/>
      <c r="AG25" s="1214"/>
      <c r="AH25" s="1216"/>
      <c r="AI25" s="1218"/>
      <c r="AJ25" s="543"/>
      <c r="AK25" s="1220">
        <v>3</v>
      </c>
      <c r="AL25" s="1174">
        <v>4</v>
      </c>
      <c r="AM25" s="1277">
        <f>IF($AG25="該当無",0,1)</f>
        <v>1</v>
      </c>
      <c r="AN25" s="1177">
        <v>1</v>
      </c>
      <c r="AO25" s="1249"/>
      <c r="AP25" s="1174">
        <f>$AK25*$AM25*$AN25</f>
        <v>3</v>
      </c>
      <c r="AQ25" s="1279">
        <f t="shared" ref="AQ25" si="3">$AP25*25/$AM$11</f>
        <v>3</v>
      </c>
      <c r="AR25" s="1265"/>
      <c r="AS25" s="1266">
        <f>IF($AG25=-1,$AG25*$AO25,IF($AP25=0,0,$AG25/$AL25*$AQ25))</f>
        <v>0</v>
      </c>
      <c r="AT25" s="1268"/>
      <c r="AU25" s="516"/>
      <c r="AV25" s="1275">
        <v>4</v>
      </c>
      <c r="AW25" s="1277">
        <v>3</v>
      </c>
      <c r="AX25" s="1277">
        <v>2</v>
      </c>
      <c r="AY25" s="1277">
        <v>1</v>
      </c>
      <c r="AZ25" s="1263">
        <v>0</v>
      </c>
      <c r="BA25" s="516"/>
      <c r="BB25" s="516"/>
      <c r="BC25" s="516"/>
      <c r="BD25" s="516"/>
      <c r="BE25" s="516"/>
      <c r="BF25" s="516"/>
      <c r="BG25" s="516"/>
      <c r="BH25" s="516"/>
      <c r="BI25" s="516"/>
      <c r="BJ25" s="516"/>
      <c r="BK25" s="516"/>
      <c r="BL25" s="516"/>
      <c r="BM25" s="516"/>
      <c r="BN25" s="1239" t="str">
        <f>IF($AG25=0,"今年度","")</f>
        <v>今年度</v>
      </c>
      <c r="BO25" s="1174" t="str">
        <f>IF($AG25=0,"来年度","")</f>
        <v>来年度</v>
      </c>
      <c r="BP25" s="1174" t="str">
        <f>IF($AG25=0,"再来年度","")</f>
        <v>再来年度</v>
      </c>
      <c r="BQ25" s="1240" t="str">
        <f>IF($AG25=0,"未定","")</f>
        <v>未定</v>
      </c>
      <c r="BR25" s="516"/>
    </row>
    <row r="26" spans="2:70" s="544" customFormat="1" ht="25.5" customHeight="1">
      <c r="B26" s="1190"/>
      <c r="C26" s="1194"/>
      <c r="D26" s="1195"/>
      <c r="E26" s="1196"/>
      <c r="F26" s="1253"/>
      <c r="G26" s="1254"/>
      <c r="H26" s="1255"/>
      <c r="I26" s="1256"/>
      <c r="J26" s="1257"/>
      <c r="K26" s="1257"/>
      <c r="L26" s="1257"/>
      <c r="M26" s="1257"/>
      <c r="N26" s="1257"/>
      <c r="O26" s="1257"/>
      <c r="P26" s="1257"/>
      <c r="Q26" s="1257"/>
      <c r="R26" s="1257"/>
      <c r="S26" s="1257"/>
      <c r="T26" s="1258"/>
      <c r="U26" s="1272"/>
      <c r="V26" s="1273"/>
      <c r="W26" s="1273"/>
      <c r="X26" s="1273"/>
      <c r="Y26" s="1273"/>
      <c r="Z26" s="1273"/>
      <c r="AA26" s="1273"/>
      <c r="AB26" s="1273"/>
      <c r="AC26" s="1273"/>
      <c r="AD26" s="1273"/>
      <c r="AE26" s="1273"/>
      <c r="AF26" s="1274"/>
      <c r="AG26" s="1214"/>
      <c r="AH26" s="1216"/>
      <c r="AI26" s="1218"/>
      <c r="AJ26" s="543"/>
      <c r="AK26" s="1220"/>
      <c r="AL26" s="1174"/>
      <c r="AM26" s="1278"/>
      <c r="AN26" s="1177"/>
      <c r="AO26" s="1179"/>
      <c r="AP26" s="1174"/>
      <c r="AQ26" s="1280"/>
      <c r="AR26" s="1242"/>
      <c r="AS26" s="1267"/>
      <c r="AT26" s="1246"/>
      <c r="AU26" s="516"/>
      <c r="AV26" s="1248"/>
      <c r="AW26" s="1278"/>
      <c r="AX26" s="1278"/>
      <c r="AY26" s="1278"/>
      <c r="AZ26" s="1238"/>
      <c r="BA26" s="516"/>
      <c r="BB26" s="516"/>
      <c r="BC26" s="516"/>
      <c r="BD26" s="516"/>
      <c r="BE26" s="516"/>
      <c r="BF26" s="516"/>
      <c r="BG26" s="516"/>
      <c r="BH26" s="516"/>
      <c r="BI26" s="516"/>
      <c r="BJ26" s="516"/>
      <c r="BK26" s="516"/>
      <c r="BL26" s="516"/>
      <c r="BM26" s="516"/>
      <c r="BN26" s="1239"/>
      <c r="BO26" s="1174"/>
      <c r="BP26" s="1174"/>
      <c r="BQ26" s="1240"/>
      <c r="BR26" s="516"/>
    </row>
    <row r="27" spans="2:70" s="544" customFormat="1" ht="25.5" customHeight="1">
      <c r="B27" s="1190"/>
      <c r="C27" s="1194"/>
      <c r="D27" s="1195"/>
      <c r="E27" s="1196"/>
      <c r="F27" s="1253"/>
      <c r="G27" s="1254"/>
      <c r="H27" s="1255"/>
      <c r="I27" s="1256"/>
      <c r="J27" s="1257"/>
      <c r="K27" s="1257"/>
      <c r="L27" s="1257"/>
      <c r="M27" s="1257"/>
      <c r="N27" s="1257"/>
      <c r="O27" s="1257"/>
      <c r="P27" s="1257"/>
      <c r="Q27" s="1257"/>
      <c r="R27" s="1257"/>
      <c r="S27" s="1257"/>
      <c r="T27" s="1258"/>
      <c r="U27" s="1272"/>
      <c r="V27" s="1273"/>
      <c r="W27" s="1273"/>
      <c r="X27" s="1273"/>
      <c r="Y27" s="1273"/>
      <c r="Z27" s="1273"/>
      <c r="AA27" s="1273"/>
      <c r="AB27" s="1273"/>
      <c r="AC27" s="1273"/>
      <c r="AD27" s="1273"/>
      <c r="AE27" s="1273"/>
      <c r="AF27" s="1274"/>
      <c r="AG27" s="1214"/>
      <c r="AH27" s="1216"/>
      <c r="AI27" s="1218"/>
      <c r="AJ27" s="543"/>
      <c r="AK27" s="1220"/>
      <c r="AL27" s="1174"/>
      <c r="AM27" s="1175"/>
      <c r="AN27" s="1177"/>
      <c r="AO27" s="1180"/>
      <c r="AP27" s="1174"/>
      <c r="AQ27" s="1181"/>
      <c r="AR27" s="1242"/>
      <c r="AS27" s="1243"/>
      <c r="AT27" s="1246"/>
      <c r="AU27" s="516"/>
      <c r="AV27" s="1276"/>
      <c r="AW27" s="1175"/>
      <c r="AX27" s="1175"/>
      <c r="AY27" s="1175"/>
      <c r="AZ27" s="1264"/>
      <c r="BA27" s="516"/>
      <c r="BB27" s="516"/>
      <c r="BC27" s="516"/>
      <c r="BD27" s="516"/>
      <c r="BE27" s="516"/>
      <c r="BF27" s="516"/>
      <c r="BG27" s="516"/>
      <c r="BH27" s="516"/>
      <c r="BI27" s="516"/>
      <c r="BJ27" s="516"/>
      <c r="BK27" s="516"/>
      <c r="BL27" s="516"/>
      <c r="BM27" s="516"/>
      <c r="BN27" s="1239"/>
      <c r="BO27" s="1174"/>
      <c r="BP27" s="1174"/>
      <c r="BQ27" s="1240"/>
      <c r="BR27" s="516"/>
    </row>
    <row r="28" spans="2:70" s="544" customFormat="1" ht="23.1" customHeight="1">
      <c r="B28" s="1190">
        <f>MAX($B$16:B25)+1</f>
        <v>5</v>
      </c>
      <c r="C28" s="1194"/>
      <c r="D28" s="1195"/>
      <c r="E28" s="1195"/>
      <c r="F28" s="1253" t="s">
        <v>88</v>
      </c>
      <c r="G28" s="1254"/>
      <c r="H28" s="1255"/>
      <c r="I28" s="1272" t="s">
        <v>637</v>
      </c>
      <c r="J28" s="1273"/>
      <c r="K28" s="1273"/>
      <c r="L28" s="1273"/>
      <c r="M28" s="1273"/>
      <c r="N28" s="1273"/>
      <c r="O28" s="1273"/>
      <c r="P28" s="1273"/>
      <c r="Q28" s="1273"/>
      <c r="R28" s="1273"/>
      <c r="S28" s="1273"/>
      <c r="T28" s="1293"/>
      <c r="U28" s="1297" t="s">
        <v>638</v>
      </c>
      <c r="V28" s="1298"/>
      <c r="W28" s="1298"/>
      <c r="X28" s="1298"/>
      <c r="Y28" s="1298"/>
      <c r="Z28" s="1298"/>
      <c r="AA28" s="1298"/>
      <c r="AB28" s="1298"/>
      <c r="AC28" s="1298"/>
      <c r="AD28" s="1298"/>
      <c r="AE28" s="1298"/>
      <c r="AF28" s="1299"/>
      <c r="AG28" s="1303"/>
      <c r="AH28" s="1216"/>
      <c r="AI28" s="1218"/>
      <c r="AJ28" s="543"/>
      <c r="AK28" s="1287">
        <v>3</v>
      </c>
      <c r="AL28" s="1281">
        <v>4</v>
      </c>
      <c r="AM28" s="1281">
        <f>IF($AG28="該当無",0,1)</f>
        <v>1</v>
      </c>
      <c r="AN28" s="1283">
        <v>1</v>
      </c>
      <c r="AO28" s="1285"/>
      <c r="AP28" s="1281">
        <f>$AK28*$AM28*$AN28</f>
        <v>3</v>
      </c>
      <c r="AQ28" s="1350">
        <f t="shared" ref="AQ28" si="4">$AP28*25/$AM$11</f>
        <v>3</v>
      </c>
      <c r="AR28" s="1352"/>
      <c r="AS28" s="1354">
        <f>IF($AG28=-1,$AG28*$AO28,IF($AP28=0,0,$AG28/$AL28*$AQ28))</f>
        <v>0</v>
      </c>
      <c r="AT28" s="1356"/>
      <c r="AU28" s="516"/>
      <c r="AV28" s="1358">
        <v>4</v>
      </c>
      <c r="AW28" s="1307">
        <v>3</v>
      </c>
      <c r="AX28" s="1307">
        <v>2</v>
      </c>
      <c r="AY28" s="1307">
        <v>1</v>
      </c>
      <c r="AZ28" s="1309">
        <v>0</v>
      </c>
      <c r="BA28" s="516"/>
      <c r="BB28" s="516"/>
      <c r="BC28" s="516"/>
      <c r="BD28" s="516"/>
      <c r="BE28" s="516"/>
      <c r="BF28" s="516"/>
      <c r="BG28" s="516"/>
      <c r="BH28" s="516"/>
      <c r="BI28" s="516"/>
      <c r="BJ28" s="516"/>
      <c r="BK28" s="516"/>
      <c r="BL28" s="516"/>
      <c r="BM28" s="516"/>
      <c r="BN28" s="1239" t="str">
        <f>IF($AG28=0,"今年度","")</f>
        <v>今年度</v>
      </c>
      <c r="BO28" s="1174" t="str">
        <f>IF($AG28=0,"来年度","")</f>
        <v>来年度</v>
      </c>
      <c r="BP28" s="1174" t="str">
        <f>IF($AG28=0,"再来年度","")</f>
        <v>再来年度</v>
      </c>
      <c r="BQ28" s="1240" t="str">
        <f>IF($AG28=0,"未定","")</f>
        <v>未定</v>
      </c>
      <c r="BR28" s="516"/>
    </row>
    <row r="29" spans="2:70" s="544" customFormat="1" ht="23.1" customHeight="1">
      <c r="B29" s="1190"/>
      <c r="C29" s="1194"/>
      <c r="D29" s="1195"/>
      <c r="E29" s="1195"/>
      <c r="F29" s="1253"/>
      <c r="G29" s="1254"/>
      <c r="H29" s="1255"/>
      <c r="I29" s="1272"/>
      <c r="J29" s="1273"/>
      <c r="K29" s="1273"/>
      <c r="L29" s="1273"/>
      <c r="M29" s="1273"/>
      <c r="N29" s="1273"/>
      <c r="O29" s="1273"/>
      <c r="P29" s="1273"/>
      <c r="Q29" s="1273"/>
      <c r="R29" s="1273"/>
      <c r="S29" s="1273"/>
      <c r="T29" s="1293"/>
      <c r="U29" s="1297"/>
      <c r="V29" s="1298"/>
      <c r="W29" s="1298"/>
      <c r="X29" s="1298"/>
      <c r="Y29" s="1298"/>
      <c r="Z29" s="1298"/>
      <c r="AA29" s="1298"/>
      <c r="AB29" s="1298"/>
      <c r="AC29" s="1298"/>
      <c r="AD29" s="1298"/>
      <c r="AE29" s="1298"/>
      <c r="AF29" s="1299"/>
      <c r="AG29" s="1303"/>
      <c r="AH29" s="1216"/>
      <c r="AI29" s="1218"/>
      <c r="AJ29" s="543"/>
      <c r="AK29" s="1288"/>
      <c r="AL29" s="1282"/>
      <c r="AM29" s="1282"/>
      <c r="AN29" s="1284"/>
      <c r="AO29" s="1286"/>
      <c r="AP29" s="1282"/>
      <c r="AQ29" s="1351"/>
      <c r="AR29" s="1353"/>
      <c r="AS29" s="1355"/>
      <c r="AT29" s="1357"/>
      <c r="AU29" s="516"/>
      <c r="AV29" s="1359"/>
      <c r="AW29" s="1308"/>
      <c r="AX29" s="1308"/>
      <c r="AY29" s="1308"/>
      <c r="AZ29" s="1310"/>
      <c r="BA29" s="516"/>
      <c r="BB29" s="516"/>
      <c r="BC29" s="516"/>
      <c r="BD29" s="516"/>
      <c r="BE29" s="516"/>
      <c r="BF29" s="516"/>
      <c r="BG29" s="516"/>
      <c r="BH29" s="516"/>
      <c r="BI29" s="516"/>
      <c r="BJ29" s="516"/>
      <c r="BK29" s="516"/>
      <c r="BL29" s="516"/>
      <c r="BM29" s="516"/>
      <c r="BN29" s="1239"/>
      <c r="BO29" s="1174"/>
      <c r="BP29" s="1174"/>
      <c r="BQ29" s="1240"/>
      <c r="BR29" s="516"/>
    </row>
    <row r="30" spans="2:70" s="544" customFormat="1" ht="24.6" customHeight="1">
      <c r="B30" s="1289"/>
      <c r="C30" s="1197"/>
      <c r="D30" s="1198"/>
      <c r="E30" s="1198"/>
      <c r="F30" s="1290"/>
      <c r="G30" s="1291"/>
      <c r="H30" s="1292"/>
      <c r="I30" s="1294"/>
      <c r="J30" s="1295"/>
      <c r="K30" s="1295"/>
      <c r="L30" s="1295"/>
      <c r="M30" s="1295"/>
      <c r="N30" s="1295"/>
      <c r="O30" s="1295"/>
      <c r="P30" s="1295"/>
      <c r="Q30" s="1295"/>
      <c r="R30" s="1295"/>
      <c r="S30" s="1295"/>
      <c r="T30" s="1296"/>
      <c r="U30" s="1300"/>
      <c r="V30" s="1301"/>
      <c r="W30" s="1301"/>
      <c r="X30" s="1301"/>
      <c r="Y30" s="1301"/>
      <c r="Z30" s="1301"/>
      <c r="AA30" s="1301"/>
      <c r="AB30" s="1301"/>
      <c r="AC30" s="1301"/>
      <c r="AD30" s="1301"/>
      <c r="AE30" s="1301"/>
      <c r="AF30" s="1302"/>
      <c r="AG30" s="1304"/>
      <c r="AH30" s="1305"/>
      <c r="AI30" s="1306"/>
      <c r="AJ30" s="543"/>
      <c r="AK30" s="1288"/>
      <c r="AL30" s="1282"/>
      <c r="AM30" s="1282"/>
      <c r="AN30" s="1284"/>
      <c r="AO30" s="1286"/>
      <c r="AP30" s="1282"/>
      <c r="AQ30" s="1351"/>
      <c r="AR30" s="1353"/>
      <c r="AS30" s="1355"/>
      <c r="AT30" s="1357"/>
      <c r="AU30" s="516"/>
      <c r="AV30" s="1359"/>
      <c r="AW30" s="1308"/>
      <c r="AX30" s="1308"/>
      <c r="AY30" s="1308"/>
      <c r="AZ30" s="1310"/>
      <c r="BA30" s="516"/>
      <c r="BB30" s="516"/>
      <c r="BC30" s="516"/>
      <c r="BD30" s="516"/>
      <c r="BE30" s="516"/>
      <c r="BF30" s="516"/>
      <c r="BG30" s="516"/>
      <c r="BH30" s="516"/>
      <c r="BI30" s="516"/>
      <c r="BJ30" s="516"/>
      <c r="BK30" s="516"/>
      <c r="BL30" s="516"/>
      <c r="BM30" s="516"/>
      <c r="BN30" s="1239"/>
      <c r="BO30" s="1174"/>
      <c r="BP30" s="1174"/>
      <c r="BQ30" s="1240"/>
      <c r="BR30" s="516"/>
    </row>
    <row r="31" spans="2:70" s="544" customFormat="1" ht="20.100000000000001" customHeight="1">
      <c r="B31" s="1289">
        <f>MAX($B$16:B28)+1</f>
        <v>6</v>
      </c>
      <c r="C31" s="1191" t="s">
        <v>87</v>
      </c>
      <c r="D31" s="1192"/>
      <c r="E31" s="1193"/>
      <c r="F31" s="1311" t="s">
        <v>83</v>
      </c>
      <c r="G31" s="1198"/>
      <c r="H31" s="1312"/>
      <c r="I31" s="1318" t="s">
        <v>602</v>
      </c>
      <c r="J31" s="1319"/>
      <c r="K31" s="1319"/>
      <c r="L31" s="1319"/>
      <c r="M31" s="1319"/>
      <c r="N31" s="1319"/>
      <c r="O31" s="1319"/>
      <c r="P31" s="1319"/>
      <c r="Q31" s="1319"/>
      <c r="R31" s="1319"/>
      <c r="S31" s="1319"/>
      <c r="T31" s="1320"/>
      <c r="U31" s="1324" t="s">
        <v>9</v>
      </c>
      <c r="V31" s="1325"/>
      <c r="W31" s="1325"/>
      <c r="X31" s="1325"/>
      <c r="Y31" s="1325"/>
      <c r="Z31" s="1325"/>
      <c r="AA31" s="1325"/>
      <c r="AB31" s="1325"/>
      <c r="AC31" s="1325"/>
      <c r="AD31" s="1325"/>
      <c r="AE31" s="1325"/>
      <c r="AF31" s="1326"/>
      <c r="AG31" s="1304"/>
      <c r="AH31" s="1215"/>
      <c r="AI31" s="1306"/>
      <c r="AJ31" s="543"/>
      <c r="AK31" s="1288">
        <v>2</v>
      </c>
      <c r="AL31" s="1282">
        <v>3</v>
      </c>
      <c r="AM31" s="1282">
        <f>IF($AG31="該当無",0,1)</f>
        <v>1</v>
      </c>
      <c r="AN31" s="1284">
        <v>1</v>
      </c>
      <c r="AO31" s="1286"/>
      <c r="AP31" s="1282">
        <f>$AK31*$AM31*$AN31</f>
        <v>2</v>
      </c>
      <c r="AQ31" s="1351">
        <f t="shared" ref="AQ31" si="5">$AP31*25/$AM$11</f>
        <v>2</v>
      </c>
      <c r="AR31" s="1360">
        <f>SUM(AQ31:AQ39)</f>
        <v>7</v>
      </c>
      <c r="AS31" s="1355">
        <f>IF($AG31=-1,$AG31*$AO31,IF($AP31=0,0,$AG31/$AL31*$AQ31))</f>
        <v>0</v>
      </c>
      <c r="AT31" s="1363">
        <f>SUM(AS31:AS39)</f>
        <v>0</v>
      </c>
      <c r="AU31" s="516"/>
      <c r="AV31" s="1359">
        <v>3</v>
      </c>
      <c r="AW31" s="1308">
        <v>2</v>
      </c>
      <c r="AX31" s="1308">
        <v>1</v>
      </c>
      <c r="AY31" s="1308">
        <v>0</v>
      </c>
      <c r="AZ31" s="1310"/>
      <c r="BA31" s="516"/>
      <c r="BB31" s="516"/>
      <c r="BC31" s="516"/>
      <c r="BD31" s="516"/>
      <c r="BE31" s="516"/>
      <c r="BF31" s="516"/>
      <c r="BG31" s="516"/>
      <c r="BH31" s="516"/>
      <c r="BI31" s="516"/>
      <c r="BJ31" s="516"/>
      <c r="BK31" s="516"/>
      <c r="BL31" s="516"/>
      <c r="BM31" s="516"/>
      <c r="BN31" s="1239" t="str">
        <f>IF($AG31=0,"今年度","")</f>
        <v>今年度</v>
      </c>
      <c r="BO31" s="1174" t="str">
        <f>IF($AG31=0,"来年度","")</f>
        <v>来年度</v>
      </c>
      <c r="BP31" s="1174" t="str">
        <f>IF($AG31=0,"再来年度","")</f>
        <v>再来年度</v>
      </c>
      <c r="BQ31" s="1240" t="str">
        <f>IF($AG31=0,"未定","")</f>
        <v>未定</v>
      </c>
      <c r="BR31" s="516"/>
    </row>
    <row r="32" spans="2:70" s="544" customFormat="1" ht="20.100000000000001" customHeight="1">
      <c r="B32" s="1159"/>
      <c r="C32" s="1194"/>
      <c r="D32" s="1195"/>
      <c r="E32" s="1196"/>
      <c r="F32" s="1313"/>
      <c r="G32" s="1314"/>
      <c r="H32" s="1315"/>
      <c r="I32" s="1321"/>
      <c r="J32" s="1322"/>
      <c r="K32" s="1322"/>
      <c r="L32" s="1322"/>
      <c r="M32" s="1322"/>
      <c r="N32" s="1322"/>
      <c r="O32" s="1322"/>
      <c r="P32" s="1322"/>
      <c r="Q32" s="1322"/>
      <c r="R32" s="1322"/>
      <c r="S32" s="1322"/>
      <c r="T32" s="1323"/>
      <c r="U32" s="1324"/>
      <c r="V32" s="1325"/>
      <c r="W32" s="1325"/>
      <c r="X32" s="1325"/>
      <c r="Y32" s="1325"/>
      <c r="Z32" s="1325"/>
      <c r="AA32" s="1325"/>
      <c r="AB32" s="1325"/>
      <c r="AC32" s="1325"/>
      <c r="AD32" s="1325"/>
      <c r="AE32" s="1325"/>
      <c r="AF32" s="1326"/>
      <c r="AG32" s="1330"/>
      <c r="AH32" s="1216"/>
      <c r="AI32" s="1332"/>
      <c r="AJ32" s="543"/>
      <c r="AK32" s="1288"/>
      <c r="AL32" s="1282"/>
      <c r="AM32" s="1282"/>
      <c r="AN32" s="1284"/>
      <c r="AO32" s="1286"/>
      <c r="AP32" s="1282"/>
      <c r="AQ32" s="1351"/>
      <c r="AR32" s="1353"/>
      <c r="AS32" s="1355"/>
      <c r="AT32" s="1357"/>
      <c r="AU32" s="516"/>
      <c r="AV32" s="1359"/>
      <c r="AW32" s="1308"/>
      <c r="AX32" s="1308"/>
      <c r="AY32" s="1308"/>
      <c r="AZ32" s="1310"/>
      <c r="BA32" s="516"/>
      <c r="BB32" s="516"/>
      <c r="BC32" s="516"/>
      <c r="BD32" s="516"/>
      <c r="BE32" s="516"/>
      <c r="BF32" s="516"/>
      <c r="BG32" s="516"/>
      <c r="BH32" s="516"/>
      <c r="BI32" s="516"/>
      <c r="BJ32" s="516"/>
      <c r="BK32" s="516"/>
      <c r="BL32" s="516"/>
      <c r="BM32" s="516"/>
      <c r="BN32" s="1239"/>
      <c r="BO32" s="1174"/>
      <c r="BP32" s="1174"/>
      <c r="BQ32" s="1240"/>
      <c r="BR32" s="516"/>
    </row>
    <row r="33" spans="2:70" s="544" customFormat="1" ht="20.100000000000001" customHeight="1">
      <c r="B33" s="1189"/>
      <c r="C33" s="1194"/>
      <c r="D33" s="1195"/>
      <c r="E33" s="1196"/>
      <c r="F33" s="1316"/>
      <c r="G33" s="1192"/>
      <c r="H33" s="1317"/>
      <c r="I33" s="1321"/>
      <c r="J33" s="1322"/>
      <c r="K33" s="1322"/>
      <c r="L33" s="1322"/>
      <c r="M33" s="1322"/>
      <c r="N33" s="1322"/>
      <c r="O33" s="1322"/>
      <c r="P33" s="1322"/>
      <c r="Q33" s="1322"/>
      <c r="R33" s="1322"/>
      <c r="S33" s="1322"/>
      <c r="T33" s="1323"/>
      <c r="U33" s="1327"/>
      <c r="V33" s="1328"/>
      <c r="W33" s="1328"/>
      <c r="X33" s="1328"/>
      <c r="Y33" s="1328"/>
      <c r="Z33" s="1328"/>
      <c r="AA33" s="1328"/>
      <c r="AB33" s="1328"/>
      <c r="AC33" s="1328"/>
      <c r="AD33" s="1328"/>
      <c r="AE33" s="1328"/>
      <c r="AF33" s="1329"/>
      <c r="AG33" s="1331"/>
      <c r="AH33" s="1216"/>
      <c r="AI33" s="1217"/>
      <c r="AJ33" s="543"/>
      <c r="AK33" s="1219"/>
      <c r="AL33" s="1173"/>
      <c r="AM33" s="1173"/>
      <c r="AN33" s="1368"/>
      <c r="AO33" s="1369"/>
      <c r="AP33" s="1173"/>
      <c r="AQ33" s="1370"/>
      <c r="AR33" s="1361"/>
      <c r="AS33" s="1362"/>
      <c r="AT33" s="1364"/>
      <c r="AU33" s="516"/>
      <c r="AV33" s="1365"/>
      <c r="AW33" s="1366"/>
      <c r="AX33" s="1366"/>
      <c r="AY33" s="1366"/>
      <c r="AZ33" s="1367"/>
      <c r="BA33" s="516"/>
      <c r="BB33" s="516"/>
      <c r="BC33" s="516"/>
      <c r="BD33" s="516"/>
      <c r="BE33" s="516"/>
      <c r="BF33" s="516"/>
      <c r="BG33" s="516"/>
      <c r="BH33" s="516"/>
      <c r="BI33" s="516"/>
      <c r="BJ33" s="516"/>
      <c r="BK33" s="516"/>
      <c r="BL33" s="516"/>
      <c r="BM33" s="516"/>
      <c r="BN33" s="1239"/>
      <c r="BO33" s="1174"/>
      <c r="BP33" s="1174"/>
      <c r="BQ33" s="1240"/>
      <c r="BR33" s="516"/>
    </row>
    <row r="34" spans="2:70" s="544" customFormat="1" ht="24.75" customHeight="1">
      <c r="B34" s="1333">
        <f>MAX($B$16:B31)+1</f>
        <v>7</v>
      </c>
      <c r="C34" s="1194"/>
      <c r="D34" s="1195"/>
      <c r="E34" s="1195"/>
      <c r="F34" s="1290" t="s">
        <v>10</v>
      </c>
      <c r="G34" s="1291"/>
      <c r="H34" s="1292"/>
      <c r="I34" s="1294" t="s">
        <v>639</v>
      </c>
      <c r="J34" s="1295"/>
      <c r="K34" s="1295"/>
      <c r="L34" s="1295"/>
      <c r="M34" s="1295"/>
      <c r="N34" s="1295"/>
      <c r="O34" s="1295"/>
      <c r="P34" s="1295"/>
      <c r="Q34" s="1295"/>
      <c r="R34" s="1295"/>
      <c r="S34" s="1295"/>
      <c r="T34" s="1296"/>
      <c r="U34" s="1300" t="s">
        <v>640</v>
      </c>
      <c r="V34" s="1301"/>
      <c r="W34" s="1301"/>
      <c r="X34" s="1301"/>
      <c r="Y34" s="1301"/>
      <c r="Z34" s="1301"/>
      <c r="AA34" s="1301"/>
      <c r="AB34" s="1301"/>
      <c r="AC34" s="1301"/>
      <c r="AD34" s="1301"/>
      <c r="AE34" s="1301"/>
      <c r="AF34" s="1302"/>
      <c r="AG34" s="1349"/>
      <c r="AH34" s="1216"/>
      <c r="AI34" s="1375"/>
      <c r="AJ34" s="543"/>
      <c r="AK34" s="1376">
        <v>3</v>
      </c>
      <c r="AL34" s="1377">
        <v>3</v>
      </c>
      <c r="AM34" s="1377">
        <f>IF($AG34="該当無",0,1)</f>
        <v>1</v>
      </c>
      <c r="AN34" s="1378">
        <v>1</v>
      </c>
      <c r="AO34" s="1379"/>
      <c r="AP34" s="1377">
        <f>$AK34*$AM34*$AN34</f>
        <v>3</v>
      </c>
      <c r="AQ34" s="1380">
        <f t="shared" ref="AQ34" si="6">$AP34*25/$AM$11</f>
        <v>3</v>
      </c>
      <c r="AR34" s="1371"/>
      <c r="AS34" s="1372">
        <f>IF(AI34="",0,IF($AG34=-1,$AG34*$AO34,IF($AP34=0,0,$AG34/$AL34*$AQ34)))</f>
        <v>0</v>
      </c>
      <c r="AT34" s="1373"/>
      <c r="AU34" s="516"/>
      <c r="AV34" s="1374">
        <v>3</v>
      </c>
      <c r="AW34" s="1377">
        <v>2</v>
      </c>
      <c r="AX34" s="1377">
        <v>1</v>
      </c>
      <c r="AY34" s="1377">
        <v>0</v>
      </c>
      <c r="AZ34" s="1389"/>
      <c r="BA34" s="516"/>
      <c r="BB34" s="516"/>
      <c r="BC34" s="516"/>
      <c r="BD34" s="516"/>
      <c r="BE34" s="516"/>
      <c r="BF34" s="516"/>
      <c r="BG34" s="516"/>
      <c r="BH34" s="516"/>
      <c r="BI34" s="516"/>
      <c r="BJ34" s="516"/>
      <c r="BK34" s="516"/>
      <c r="BL34" s="516"/>
      <c r="BM34" s="516"/>
      <c r="BN34" s="1239" t="str">
        <f>IF($AG34=0,"今年度","")</f>
        <v>今年度</v>
      </c>
      <c r="BO34" s="1174" t="str">
        <f>IF($AG34=0,"来年度","")</f>
        <v>来年度</v>
      </c>
      <c r="BP34" s="1174" t="str">
        <f>IF($AG34=0,"再来年度","")</f>
        <v>再来年度</v>
      </c>
      <c r="BQ34" s="1240" t="str">
        <f>IF($AG34=0,"未定","")</f>
        <v>未定</v>
      </c>
      <c r="BR34" s="516"/>
    </row>
    <row r="35" spans="2:70" s="544" customFormat="1" ht="24.75" customHeight="1">
      <c r="B35" s="1159"/>
      <c r="C35" s="1194"/>
      <c r="D35" s="1195"/>
      <c r="E35" s="1195"/>
      <c r="F35" s="1334"/>
      <c r="G35" s="1335"/>
      <c r="H35" s="1336"/>
      <c r="I35" s="1340"/>
      <c r="J35" s="1341"/>
      <c r="K35" s="1341"/>
      <c r="L35" s="1341"/>
      <c r="M35" s="1341"/>
      <c r="N35" s="1341"/>
      <c r="O35" s="1341"/>
      <c r="P35" s="1341"/>
      <c r="Q35" s="1341"/>
      <c r="R35" s="1341"/>
      <c r="S35" s="1341"/>
      <c r="T35" s="1342"/>
      <c r="U35" s="1324"/>
      <c r="V35" s="1325"/>
      <c r="W35" s="1325"/>
      <c r="X35" s="1325"/>
      <c r="Y35" s="1325"/>
      <c r="Z35" s="1325"/>
      <c r="AA35" s="1325"/>
      <c r="AB35" s="1325"/>
      <c r="AC35" s="1325"/>
      <c r="AD35" s="1325"/>
      <c r="AE35" s="1325"/>
      <c r="AF35" s="1326"/>
      <c r="AG35" s="1330"/>
      <c r="AH35" s="1216"/>
      <c r="AI35" s="1332"/>
      <c r="AJ35" s="543"/>
      <c r="AK35" s="1288"/>
      <c r="AL35" s="1282"/>
      <c r="AM35" s="1282"/>
      <c r="AN35" s="1284"/>
      <c r="AO35" s="1286"/>
      <c r="AP35" s="1282"/>
      <c r="AQ35" s="1351"/>
      <c r="AR35" s="1353"/>
      <c r="AS35" s="1355"/>
      <c r="AT35" s="1357"/>
      <c r="AU35" s="516"/>
      <c r="AV35" s="1359"/>
      <c r="AW35" s="1282"/>
      <c r="AX35" s="1282"/>
      <c r="AY35" s="1282"/>
      <c r="AZ35" s="1310"/>
      <c r="BA35" s="516"/>
      <c r="BB35" s="516"/>
      <c r="BC35" s="516"/>
      <c r="BD35" s="516"/>
      <c r="BE35" s="516"/>
      <c r="BF35" s="516"/>
      <c r="BG35" s="516"/>
      <c r="BH35" s="516"/>
      <c r="BI35" s="516"/>
      <c r="BJ35" s="516"/>
      <c r="BK35" s="516"/>
      <c r="BL35" s="516"/>
      <c r="BM35" s="516"/>
      <c r="BN35" s="1239"/>
      <c r="BO35" s="1174"/>
      <c r="BP35" s="1174"/>
      <c r="BQ35" s="1240"/>
      <c r="BR35" s="516"/>
    </row>
    <row r="36" spans="2:70" s="544" customFormat="1" ht="24.75" customHeight="1">
      <c r="B36" s="1189"/>
      <c r="C36" s="1194"/>
      <c r="D36" s="1195"/>
      <c r="E36" s="1195"/>
      <c r="F36" s="1337"/>
      <c r="G36" s="1338"/>
      <c r="H36" s="1339"/>
      <c r="I36" s="1343"/>
      <c r="J36" s="1344"/>
      <c r="K36" s="1344"/>
      <c r="L36" s="1344"/>
      <c r="M36" s="1344"/>
      <c r="N36" s="1344"/>
      <c r="O36" s="1344"/>
      <c r="P36" s="1344"/>
      <c r="Q36" s="1344"/>
      <c r="R36" s="1344"/>
      <c r="S36" s="1344"/>
      <c r="T36" s="1345"/>
      <c r="U36" s="1346"/>
      <c r="V36" s="1347"/>
      <c r="W36" s="1347"/>
      <c r="X36" s="1347"/>
      <c r="Y36" s="1347"/>
      <c r="Z36" s="1347"/>
      <c r="AA36" s="1347"/>
      <c r="AB36" s="1347"/>
      <c r="AC36" s="1347"/>
      <c r="AD36" s="1347"/>
      <c r="AE36" s="1347"/>
      <c r="AF36" s="1348"/>
      <c r="AG36" s="1331"/>
      <c r="AH36" s="1216"/>
      <c r="AI36" s="1217"/>
      <c r="AJ36" s="543"/>
      <c r="AK36" s="1219"/>
      <c r="AL36" s="1173"/>
      <c r="AM36" s="1173"/>
      <c r="AN36" s="1368"/>
      <c r="AO36" s="1369"/>
      <c r="AP36" s="1173"/>
      <c r="AQ36" s="1370"/>
      <c r="AR36" s="1361"/>
      <c r="AS36" s="1362"/>
      <c r="AT36" s="1364"/>
      <c r="AU36" s="516"/>
      <c r="AV36" s="1365"/>
      <c r="AW36" s="1173"/>
      <c r="AX36" s="1173"/>
      <c r="AY36" s="1173"/>
      <c r="AZ36" s="1367"/>
      <c r="BA36" s="516"/>
      <c r="BB36" s="516"/>
      <c r="BC36" s="516"/>
      <c r="BD36" s="516"/>
      <c r="BE36" s="516"/>
      <c r="BF36" s="516"/>
      <c r="BG36" s="516"/>
      <c r="BH36" s="516"/>
      <c r="BI36" s="516"/>
      <c r="BJ36" s="516"/>
      <c r="BK36" s="516"/>
      <c r="BL36" s="516"/>
      <c r="BM36" s="516"/>
      <c r="BN36" s="1239"/>
      <c r="BO36" s="1174"/>
      <c r="BP36" s="1174"/>
      <c r="BQ36" s="1240"/>
      <c r="BR36" s="516"/>
    </row>
    <row r="37" spans="2:70" s="544" customFormat="1" ht="26.25" customHeight="1">
      <c r="B37" s="1383">
        <f>MAX($B$16:B34)+1</f>
        <v>8</v>
      </c>
      <c r="C37" s="1194"/>
      <c r="D37" s="1195"/>
      <c r="E37" s="1195"/>
      <c r="F37" s="1290" t="s">
        <v>11</v>
      </c>
      <c r="G37" s="1291"/>
      <c r="H37" s="1292"/>
      <c r="I37" s="1294" t="s">
        <v>641</v>
      </c>
      <c r="J37" s="1295"/>
      <c r="K37" s="1295"/>
      <c r="L37" s="1295"/>
      <c r="M37" s="1295"/>
      <c r="N37" s="1295"/>
      <c r="O37" s="1295"/>
      <c r="P37" s="1295"/>
      <c r="Q37" s="1295"/>
      <c r="R37" s="1295"/>
      <c r="S37" s="1295"/>
      <c r="T37" s="1296"/>
      <c r="U37" s="1300" t="s">
        <v>640</v>
      </c>
      <c r="V37" s="1301"/>
      <c r="W37" s="1301"/>
      <c r="X37" s="1301"/>
      <c r="Y37" s="1301"/>
      <c r="Z37" s="1301"/>
      <c r="AA37" s="1301"/>
      <c r="AB37" s="1301"/>
      <c r="AC37" s="1301"/>
      <c r="AD37" s="1301"/>
      <c r="AE37" s="1301"/>
      <c r="AF37" s="1302"/>
      <c r="AG37" s="1385"/>
      <c r="AH37" s="1216"/>
      <c r="AI37" s="1387"/>
      <c r="AJ37" s="543"/>
      <c r="AK37" s="1220">
        <v>2</v>
      </c>
      <c r="AL37" s="1174">
        <v>3</v>
      </c>
      <c r="AM37" s="1277">
        <f>IF($AG37="該当無",0,1)</f>
        <v>1</v>
      </c>
      <c r="AN37" s="1177">
        <v>1</v>
      </c>
      <c r="AO37" s="1249"/>
      <c r="AP37" s="1174">
        <f>$AK37*$AM37*$AN37</f>
        <v>2</v>
      </c>
      <c r="AQ37" s="1279">
        <f t="shared" ref="AQ37" si="7">$AP37*25/$AM$11</f>
        <v>2</v>
      </c>
      <c r="AR37" s="1265"/>
      <c r="AS37" s="1266">
        <f>IF(AI37="",0,IF($AG37=-1,$AG37*$AO37,IF($AP37=0,0,$AG37/$AL37*$AQ37)))</f>
        <v>0</v>
      </c>
      <c r="AT37" s="1268"/>
      <c r="AU37" s="516"/>
      <c r="AV37" s="1275">
        <v>3</v>
      </c>
      <c r="AW37" s="1277">
        <v>2</v>
      </c>
      <c r="AX37" s="1277">
        <v>1</v>
      </c>
      <c r="AY37" s="1277">
        <v>0</v>
      </c>
      <c r="AZ37" s="1263"/>
      <c r="BA37" s="516"/>
      <c r="BB37" s="516"/>
      <c r="BC37" s="516"/>
      <c r="BD37" s="516"/>
      <c r="BE37" s="516"/>
      <c r="BF37" s="516"/>
      <c r="BG37" s="516"/>
      <c r="BH37" s="516"/>
      <c r="BI37" s="516"/>
      <c r="BJ37" s="516"/>
      <c r="BK37" s="516"/>
      <c r="BL37" s="516"/>
      <c r="BM37" s="516"/>
      <c r="BN37" s="1239" t="str">
        <f>IF($AG37=0,"今年度","")</f>
        <v>今年度</v>
      </c>
      <c r="BO37" s="1174" t="str">
        <f>IF($AG37=0,"来年度","")</f>
        <v>来年度</v>
      </c>
      <c r="BP37" s="1174" t="str">
        <f>IF($AG37=0,"再来年度","")</f>
        <v>再来年度</v>
      </c>
      <c r="BQ37" s="1240" t="str">
        <f>IF($AG37=0,"未定","")</f>
        <v>未定</v>
      </c>
      <c r="BR37" s="516"/>
    </row>
    <row r="38" spans="2:70" s="544" customFormat="1" ht="26.25" customHeight="1">
      <c r="B38" s="1384"/>
      <c r="C38" s="1194"/>
      <c r="D38" s="1195"/>
      <c r="E38" s="1195"/>
      <c r="F38" s="1334"/>
      <c r="G38" s="1335"/>
      <c r="H38" s="1336"/>
      <c r="I38" s="1340"/>
      <c r="J38" s="1341"/>
      <c r="K38" s="1341"/>
      <c r="L38" s="1341"/>
      <c r="M38" s="1341"/>
      <c r="N38" s="1341"/>
      <c r="O38" s="1341"/>
      <c r="P38" s="1341"/>
      <c r="Q38" s="1341"/>
      <c r="R38" s="1341"/>
      <c r="S38" s="1341"/>
      <c r="T38" s="1342"/>
      <c r="U38" s="1324"/>
      <c r="V38" s="1325"/>
      <c r="W38" s="1325"/>
      <c r="X38" s="1325"/>
      <c r="Y38" s="1325"/>
      <c r="Z38" s="1325"/>
      <c r="AA38" s="1325"/>
      <c r="AB38" s="1325"/>
      <c r="AC38" s="1325"/>
      <c r="AD38" s="1325"/>
      <c r="AE38" s="1325"/>
      <c r="AF38" s="1326"/>
      <c r="AG38" s="1386"/>
      <c r="AH38" s="1216"/>
      <c r="AI38" s="1388"/>
      <c r="AJ38" s="543"/>
      <c r="AK38" s="1220"/>
      <c r="AL38" s="1174"/>
      <c r="AM38" s="1278"/>
      <c r="AN38" s="1177"/>
      <c r="AO38" s="1179"/>
      <c r="AP38" s="1174"/>
      <c r="AQ38" s="1280"/>
      <c r="AR38" s="1242"/>
      <c r="AS38" s="1267"/>
      <c r="AT38" s="1246"/>
      <c r="AU38" s="516"/>
      <c r="AV38" s="1248"/>
      <c r="AW38" s="1278"/>
      <c r="AX38" s="1278"/>
      <c r="AY38" s="1278"/>
      <c r="AZ38" s="1238"/>
      <c r="BA38" s="516"/>
      <c r="BB38" s="516"/>
      <c r="BC38" s="516"/>
      <c r="BD38" s="516"/>
      <c r="BE38" s="516"/>
      <c r="BF38" s="516"/>
      <c r="BG38" s="516"/>
      <c r="BH38" s="516"/>
      <c r="BI38" s="516"/>
      <c r="BJ38" s="516"/>
      <c r="BK38" s="516"/>
      <c r="BL38" s="516"/>
      <c r="BM38" s="516"/>
      <c r="BN38" s="1239"/>
      <c r="BO38" s="1174"/>
      <c r="BP38" s="1174"/>
      <c r="BQ38" s="1240"/>
      <c r="BR38" s="516"/>
    </row>
    <row r="39" spans="2:70" s="544" customFormat="1" ht="26.25" customHeight="1">
      <c r="B39" s="1333"/>
      <c r="C39" s="1197"/>
      <c r="D39" s="1198"/>
      <c r="E39" s="1198"/>
      <c r="F39" s="1334"/>
      <c r="G39" s="1335"/>
      <c r="H39" s="1336"/>
      <c r="I39" s="1340"/>
      <c r="J39" s="1341"/>
      <c r="K39" s="1341"/>
      <c r="L39" s="1341"/>
      <c r="M39" s="1341"/>
      <c r="N39" s="1341"/>
      <c r="O39" s="1341"/>
      <c r="P39" s="1341"/>
      <c r="Q39" s="1341"/>
      <c r="R39" s="1341"/>
      <c r="S39" s="1341"/>
      <c r="T39" s="1342"/>
      <c r="U39" s="1346"/>
      <c r="V39" s="1347"/>
      <c r="W39" s="1347"/>
      <c r="X39" s="1347"/>
      <c r="Y39" s="1347"/>
      <c r="Z39" s="1347"/>
      <c r="AA39" s="1347"/>
      <c r="AB39" s="1347"/>
      <c r="AC39" s="1347"/>
      <c r="AD39" s="1347"/>
      <c r="AE39" s="1347"/>
      <c r="AF39" s="1348"/>
      <c r="AG39" s="1349"/>
      <c r="AH39" s="1305"/>
      <c r="AI39" s="1375"/>
      <c r="AJ39" s="543"/>
      <c r="AK39" s="1287"/>
      <c r="AL39" s="1281"/>
      <c r="AM39" s="1377"/>
      <c r="AN39" s="1283"/>
      <c r="AO39" s="1379"/>
      <c r="AP39" s="1281"/>
      <c r="AQ39" s="1380"/>
      <c r="AR39" s="1381"/>
      <c r="AS39" s="1372"/>
      <c r="AT39" s="1382"/>
      <c r="AU39" s="516"/>
      <c r="AV39" s="1374"/>
      <c r="AW39" s="1377"/>
      <c r="AX39" s="1377"/>
      <c r="AY39" s="1377"/>
      <c r="AZ39" s="1389"/>
      <c r="BA39" s="516"/>
      <c r="BB39" s="516"/>
      <c r="BC39" s="516"/>
      <c r="BD39" s="516"/>
      <c r="BE39" s="516"/>
      <c r="BF39" s="516"/>
      <c r="BG39" s="516"/>
      <c r="BH39" s="516"/>
      <c r="BI39" s="516"/>
      <c r="BJ39" s="516"/>
      <c r="BK39" s="516"/>
      <c r="BL39" s="516"/>
      <c r="BM39" s="516"/>
      <c r="BN39" s="1239"/>
      <c r="BO39" s="1174"/>
      <c r="BP39" s="1174"/>
      <c r="BQ39" s="1240"/>
      <c r="BR39" s="516"/>
    </row>
    <row r="40" spans="2:70" s="544" customFormat="1" ht="27.95" customHeight="1">
      <c r="B40" s="1383">
        <f>MAX($B$16:B37)+1</f>
        <v>9</v>
      </c>
      <c r="C40" s="1392" t="s">
        <v>84</v>
      </c>
      <c r="D40" s="1314"/>
      <c r="E40" s="1393"/>
      <c r="F40" s="1394" t="s">
        <v>85</v>
      </c>
      <c r="G40" s="1195"/>
      <c r="H40" s="1395"/>
      <c r="I40" s="1396" t="s">
        <v>12</v>
      </c>
      <c r="J40" s="1396"/>
      <c r="K40" s="1396"/>
      <c r="L40" s="1396"/>
      <c r="M40" s="1396"/>
      <c r="N40" s="1396"/>
      <c r="O40" s="1396"/>
      <c r="P40" s="1396"/>
      <c r="Q40" s="1396"/>
      <c r="R40" s="1396"/>
      <c r="S40" s="1396"/>
      <c r="T40" s="1397"/>
      <c r="U40" s="1327" t="s">
        <v>642</v>
      </c>
      <c r="V40" s="1328"/>
      <c r="W40" s="1328"/>
      <c r="X40" s="1328"/>
      <c r="Y40" s="1328"/>
      <c r="Z40" s="1328"/>
      <c r="AA40" s="1328"/>
      <c r="AB40" s="1328"/>
      <c r="AC40" s="1328"/>
      <c r="AD40" s="1328"/>
      <c r="AE40" s="1328"/>
      <c r="AF40" s="1329"/>
      <c r="AG40" s="1386"/>
      <c r="AH40" s="1215"/>
      <c r="AI40" s="1387"/>
      <c r="AJ40" s="543"/>
      <c r="AK40" s="1260">
        <v>2</v>
      </c>
      <c r="AL40" s="1174">
        <v>4</v>
      </c>
      <c r="AM40" s="1277">
        <f>IF($AG40="該当無",0,1)</f>
        <v>1</v>
      </c>
      <c r="AN40" s="1177">
        <v>1</v>
      </c>
      <c r="AO40" s="1249"/>
      <c r="AP40" s="1174">
        <f>$AK40*$AM40*$AN40</f>
        <v>2</v>
      </c>
      <c r="AQ40" s="1279">
        <f t="shared" ref="AQ40" si="8">$AP40*25/$AM$11</f>
        <v>2</v>
      </c>
      <c r="AR40" s="1265">
        <f>SUM(AQ40:AQ45)</f>
        <v>3</v>
      </c>
      <c r="AS40" s="1266">
        <f>IF($AG40=-1,$AG40*$AO40,IF($AP40=0,0,$AG40/$AL40*$AQ40))</f>
        <v>0</v>
      </c>
      <c r="AT40" s="1268">
        <f>SUM(AS40:AS45)</f>
        <v>0</v>
      </c>
      <c r="AU40" s="516"/>
      <c r="AV40" s="1275">
        <v>4</v>
      </c>
      <c r="AW40" s="1261">
        <v>3</v>
      </c>
      <c r="AX40" s="1261">
        <v>2</v>
      </c>
      <c r="AY40" s="1261">
        <v>1</v>
      </c>
      <c r="AZ40" s="1263">
        <v>0</v>
      </c>
      <c r="BA40" s="516"/>
      <c r="BB40" s="516"/>
      <c r="BC40" s="516"/>
      <c r="BD40" s="516"/>
      <c r="BE40" s="516"/>
      <c r="BF40" s="516"/>
      <c r="BG40" s="516"/>
      <c r="BH40" s="516"/>
      <c r="BI40" s="516"/>
      <c r="BJ40" s="516"/>
      <c r="BK40" s="516"/>
      <c r="BL40" s="516"/>
      <c r="BM40" s="516"/>
      <c r="BN40" s="1239" t="str">
        <f>IF($AG40=0,"今年度","")</f>
        <v>今年度</v>
      </c>
      <c r="BO40" s="1174" t="str">
        <f>IF($AG40=0,"来年度","")</f>
        <v>来年度</v>
      </c>
      <c r="BP40" s="1174" t="str">
        <f>IF($AG40=0,"再来年度","")</f>
        <v>再来年度</v>
      </c>
      <c r="BQ40" s="1240" t="str">
        <f>IF($AG40=0,"未定","")</f>
        <v>未定</v>
      </c>
      <c r="BR40" s="516"/>
    </row>
    <row r="41" spans="2:70" s="544" customFormat="1" ht="30.75" customHeight="1">
      <c r="B41" s="1384"/>
      <c r="C41" s="1392"/>
      <c r="D41" s="1314"/>
      <c r="E41" s="1393"/>
      <c r="F41" s="1394"/>
      <c r="G41" s="1195"/>
      <c r="H41" s="1395"/>
      <c r="I41" s="1273"/>
      <c r="J41" s="1273"/>
      <c r="K41" s="1273"/>
      <c r="L41" s="1273"/>
      <c r="M41" s="1273"/>
      <c r="N41" s="1273"/>
      <c r="O41" s="1273"/>
      <c r="P41" s="1273"/>
      <c r="Q41" s="1273"/>
      <c r="R41" s="1273"/>
      <c r="S41" s="1273"/>
      <c r="T41" s="1293"/>
      <c r="U41" s="1398"/>
      <c r="V41" s="1399"/>
      <c r="W41" s="1399"/>
      <c r="X41" s="1399"/>
      <c r="Y41" s="1399"/>
      <c r="Z41" s="1399"/>
      <c r="AA41" s="1399"/>
      <c r="AB41" s="1399"/>
      <c r="AC41" s="1399"/>
      <c r="AD41" s="1399"/>
      <c r="AE41" s="1399"/>
      <c r="AF41" s="1400"/>
      <c r="AG41" s="1386"/>
      <c r="AH41" s="1216"/>
      <c r="AI41" s="1388"/>
      <c r="AJ41" s="543"/>
      <c r="AK41" s="1260"/>
      <c r="AL41" s="1174"/>
      <c r="AM41" s="1278"/>
      <c r="AN41" s="1177"/>
      <c r="AO41" s="1179"/>
      <c r="AP41" s="1174"/>
      <c r="AQ41" s="1280"/>
      <c r="AR41" s="1242"/>
      <c r="AS41" s="1267"/>
      <c r="AT41" s="1246"/>
      <c r="AU41" s="516"/>
      <c r="AV41" s="1248"/>
      <c r="AW41" s="1236"/>
      <c r="AX41" s="1236"/>
      <c r="AY41" s="1236"/>
      <c r="AZ41" s="1238"/>
      <c r="BA41" s="516"/>
      <c r="BB41" s="516"/>
      <c r="BC41" s="516"/>
      <c r="BD41" s="516"/>
      <c r="BE41" s="516"/>
      <c r="BF41" s="516"/>
      <c r="BG41" s="516"/>
      <c r="BH41" s="516"/>
      <c r="BI41" s="516"/>
      <c r="BJ41" s="516"/>
      <c r="BK41" s="516"/>
      <c r="BL41" s="516"/>
      <c r="BM41" s="516"/>
      <c r="BN41" s="1239"/>
      <c r="BO41" s="1174"/>
      <c r="BP41" s="1174"/>
      <c r="BQ41" s="1240"/>
      <c r="BR41" s="516"/>
    </row>
    <row r="42" spans="2:70" s="544" customFormat="1" ht="33" customHeight="1">
      <c r="B42" s="1391"/>
      <c r="C42" s="1392"/>
      <c r="D42" s="1314"/>
      <c r="E42" s="1393"/>
      <c r="F42" s="1394"/>
      <c r="G42" s="1195"/>
      <c r="H42" s="1395"/>
      <c r="I42" s="1273"/>
      <c r="J42" s="1273"/>
      <c r="K42" s="1273"/>
      <c r="L42" s="1273"/>
      <c r="M42" s="1273"/>
      <c r="N42" s="1273"/>
      <c r="O42" s="1273"/>
      <c r="P42" s="1273"/>
      <c r="Q42" s="1273"/>
      <c r="R42" s="1273"/>
      <c r="S42" s="1273"/>
      <c r="T42" s="1293"/>
      <c r="U42" s="1401"/>
      <c r="V42" s="1402"/>
      <c r="W42" s="1402"/>
      <c r="X42" s="1402"/>
      <c r="Y42" s="1402"/>
      <c r="Z42" s="1402"/>
      <c r="AA42" s="1402"/>
      <c r="AB42" s="1402"/>
      <c r="AC42" s="1402"/>
      <c r="AD42" s="1402"/>
      <c r="AE42" s="1402"/>
      <c r="AF42" s="1403"/>
      <c r="AG42" s="1404"/>
      <c r="AH42" s="1216"/>
      <c r="AI42" s="1390"/>
      <c r="AJ42" s="543"/>
      <c r="AK42" s="1260"/>
      <c r="AL42" s="1174"/>
      <c r="AM42" s="1175"/>
      <c r="AN42" s="1177"/>
      <c r="AO42" s="1180"/>
      <c r="AP42" s="1174"/>
      <c r="AQ42" s="1181"/>
      <c r="AR42" s="1242"/>
      <c r="AS42" s="1243"/>
      <c r="AT42" s="1246"/>
      <c r="AU42" s="516"/>
      <c r="AV42" s="1276"/>
      <c r="AW42" s="1262"/>
      <c r="AX42" s="1262"/>
      <c r="AY42" s="1262"/>
      <c r="AZ42" s="1264"/>
      <c r="BA42" s="516"/>
      <c r="BB42" s="516"/>
      <c r="BC42" s="516"/>
      <c r="BD42" s="516"/>
      <c r="BE42" s="516"/>
      <c r="BF42" s="516"/>
      <c r="BG42" s="516"/>
      <c r="BH42" s="516"/>
      <c r="BI42" s="516"/>
      <c r="BJ42" s="516"/>
      <c r="BK42" s="516"/>
      <c r="BL42" s="516"/>
      <c r="BM42" s="516"/>
      <c r="BN42" s="1239"/>
      <c r="BO42" s="1174"/>
      <c r="BP42" s="1174"/>
      <c r="BQ42" s="1240"/>
      <c r="BR42" s="516"/>
    </row>
    <row r="43" spans="2:70" s="544" customFormat="1" ht="27" customHeight="1">
      <c r="B43" s="1383">
        <f>MAX($B$16:B40)+1</f>
        <v>10</v>
      </c>
      <c r="C43" s="1392"/>
      <c r="D43" s="1314"/>
      <c r="E43" s="1393"/>
      <c r="F43" s="1406" t="s">
        <v>86</v>
      </c>
      <c r="G43" s="1407"/>
      <c r="H43" s="1408"/>
      <c r="I43" s="1295" t="s">
        <v>13</v>
      </c>
      <c r="J43" s="1295"/>
      <c r="K43" s="1295"/>
      <c r="L43" s="1295"/>
      <c r="M43" s="1295"/>
      <c r="N43" s="1295"/>
      <c r="O43" s="1295"/>
      <c r="P43" s="1295"/>
      <c r="Q43" s="1295"/>
      <c r="R43" s="1295"/>
      <c r="S43" s="1295"/>
      <c r="T43" s="1296"/>
      <c r="U43" s="1300" t="s">
        <v>14</v>
      </c>
      <c r="V43" s="1301"/>
      <c r="W43" s="1301"/>
      <c r="X43" s="1301"/>
      <c r="Y43" s="1301"/>
      <c r="Z43" s="1301"/>
      <c r="AA43" s="1301"/>
      <c r="AB43" s="1301"/>
      <c r="AC43" s="1301"/>
      <c r="AD43" s="1301"/>
      <c r="AE43" s="1301"/>
      <c r="AF43" s="1302"/>
      <c r="AG43" s="1409"/>
      <c r="AH43" s="1216"/>
      <c r="AI43" s="1387"/>
      <c r="AJ43" s="543"/>
      <c r="AK43" s="1260">
        <v>1</v>
      </c>
      <c r="AL43" s="1174">
        <v>3</v>
      </c>
      <c r="AM43" s="1277">
        <f>IF($AG43="該当無",0,1)</f>
        <v>1</v>
      </c>
      <c r="AN43" s="1177">
        <v>1</v>
      </c>
      <c r="AO43" s="1249"/>
      <c r="AP43" s="1174">
        <f>$AK43*$AM43*$AN43</f>
        <v>1</v>
      </c>
      <c r="AQ43" s="1279">
        <f t="shared" ref="AQ43" si="9">$AP43*25/$AM$11</f>
        <v>1</v>
      </c>
      <c r="AR43" s="1265"/>
      <c r="AS43" s="1266">
        <f>IF($AG43=-1,$AG43*$AO43,IF($AP43=0,0,$AG43/$AL43*$AQ43))</f>
        <v>0</v>
      </c>
      <c r="AT43" s="1268"/>
      <c r="AU43" s="516"/>
      <c r="AV43" s="1269">
        <f>IF($AG$40=0,0,3)</f>
        <v>0</v>
      </c>
      <c r="AW43" s="1435">
        <f>IF($AG$40=0,0,2)</f>
        <v>0</v>
      </c>
      <c r="AX43" s="1412">
        <f>IF($AG$40=0,0,1)</f>
        <v>0</v>
      </c>
      <c r="AY43" s="1261">
        <v>0</v>
      </c>
      <c r="AZ43" s="1263"/>
      <c r="BA43" s="516"/>
      <c r="BB43" s="516"/>
      <c r="BC43" s="516"/>
      <c r="BD43" s="516"/>
      <c r="BE43" s="516"/>
      <c r="BF43" s="516"/>
      <c r="BG43" s="516"/>
      <c r="BH43" s="516"/>
      <c r="BI43" s="516"/>
      <c r="BJ43" s="516"/>
      <c r="BK43" s="516"/>
      <c r="BL43" s="516"/>
      <c r="BM43" s="516"/>
      <c r="BN43" s="1239" t="str">
        <f>IF($AG43=0,"今年度","")</f>
        <v>今年度</v>
      </c>
      <c r="BO43" s="1174" t="str">
        <f>IF($AG43=0,"来年度","")</f>
        <v>来年度</v>
      </c>
      <c r="BP43" s="1174" t="str">
        <f>IF($AG43=0,"再来年度","")</f>
        <v>再来年度</v>
      </c>
      <c r="BQ43" s="1240" t="str">
        <f>IF($AG43=0,"未定","")</f>
        <v>未定</v>
      </c>
      <c r="BR43" s="516"/>
    </row>
    <row r="44" spans="2:70" s="544" customFormat="1" ht="18" customHeight="1">
      <c r="B44" s="1384"/>
      <c r="C44" s="1392"/>
      <c r="D44" s="1314"/>
      <c r="E44" s="1393"/>
      <c r="F44" s="1313"/>
      <c r="G44" s="1314"/>
      <c r="H44" s="1315"/>
      <c r="I44" s="1341"/>
      <c r="J44" s="1341"/>
      <c r="K44" s="1341"/>
      <c r="L44" s="1341"/>
      <c r="M44" s="1341"/>
      <c r="N44" s="1341"/>
      <c r="O44" s="1341"/>
      <c r="P44" s="1341"/>
      <c r="Q44" s="1341"/>
      <c r="R44" s="1341"/>
      <c r="S44" s="1341"/>
      <c r="T44" s="1342"/>
      <c r="U44" s="1324"/>
      <c r="V44" s="1325"/>
      <c r="W44" s="1325"/>
      <c r="X44" s="1325"/>
      <c r="Y44" s="1325"/>
      <c r="Z44" s="1325"/>
      <c r="AA44" s="1325"/>
      <c r="AB44" s="1325"/>
      <c r="AC44" s="1325"/>
      <c r="AD44" s="1325"/>
      <c r="AE44" s="1325"/>
      <c r="AF44" s="1326"/>
      <c r="AG44" s="1410"/>
      <c r="AH44" s="1216"/>
      <c r="AI44" s="1388"/>
      <c r="AJ44" s="543"/>
      <c r="AK44" s="1260"/>
      <c r="AL44" s="1174"/>
      <c r="AM44" s="1278"/>
      <c r="AN44" s="1177"/>
      <c r="AO44" s="1179"/>
      <c r="AP44" s="1174"/>
      <c r="AQ44" s="1280"/>
      <c r="AR44" s="1242"/>
      <c r="AS44" s="1267"/>
      <c r="AT44" s="1246"/>
      <c r="AU44" s="516"/>
      <c r="AV44" s="1270"/>
      <c r="AW44" s="1436"/>
      <c r="AX44" s="1413"/>
      <c r="AY44" s="1236"/>
      <c r="AZ44" s="1238"/>
      <c r="BA44" s="516"/>
      <c r="BB44" s="516"/>
      <c r="BC44" s="516"/>
      <c r="BD44" s="516"/>
      <c r="BE44" s="516"/>
      <c r="BF44" s="516"/>
      <c r="BG44" s="516"/>
      <c r="BH44" s="516"/>
      <c r="BI44" s="516"/>
      <c r="BJ44" s="516"/>
      <c r="BK44" s="516"/>
      <c r="BL44" s="516"/>
      <c r="BM44" s="516"/>
      <c r="BN44" s="1239"/>
      <c r="BO44" s="1174"/>
      <c r="BP44" s="1174"/>
      <c r="BQ44" s="1240"/>
      <c r="BR44" s="516"/>
    </row>
    <row r="45" spans="2:70" s="544" customFormat="1" ht="20.45" customHeight="1">
      <c r="B45" s="1333"/>
      <c r="C45" s="1392"/>
      <c r="D45" s="1314"/>
      <c r="E45" s="1393"/>
      <c r="F45" s="1313"/>
      <c r="G45" s="1314"/>
      <c r="H45" s="1315"/>
      <c r="I45" s="1341"/>
      <c r="J45" s="1341"/>
      <c r="K45" s="1341"/>
      <c r="L45" s="1341"/>
      <c r="M45" s="1341"/>
      <c r="N45" s="1341"/>
      <c r="O45" s="1341"/>
      <c r="P45" s="1341"/>
      <c r="Q45" s="1341"/>
      <c r="R45" s="1341"/>
      <c r="S45" s="1341"/>
      <c r="T45" s="1342"/>
      <c r="U45" s="1324"/>
      <c r="V45" s="1325"/>
      <c r="W45" s="1325"/>
      <c r="X45" s="1325"/>
      <c r="Y45" s="1325"/>
      <c r="Z45" s="1325"/>
      <c r="AA45" s="1325"/>
      <c r="AB45" s="1325"/>
      <c r="AC45" s="1325"/>
      <c r="AD45" s="1325"/>
      <c r="AE45" s="1325"/>
      <c r="AF45" s="1326"/>
      <c r="AG45" s="1411"/>
      <c r="AH45" s="1305"/>
      <c r="AI45" s="1375"/>
      <c r="AJ45" s="543"/>
      <c r="AK45" s="1405"/>
      <c r="AL45" s="1281"/>
      <c r="AM45" s="1377"/>
      <c r="AN45" s="1283"/>
      <c r="AO45" s="1379"/>
      <c r="AP45" s="1281"/>
      <c r="AQ45" s="1380"/>
      <c r="AR45" s="1381"/>
      <c r="AS45" s="1372"/>
      <c r="AT45" s="1382"/>
      <c r="AU45" s="516"/>
      <c r="AV45" s="1434"/>
      <c r="AW45" s="1437"/>
      <c r="AX45" s="1414"/>
      <c r="AY45" s="1415"/>
      <c r="AZ45" s="1389"/>
      <c r="BA45" s="516"/>
      <c r="BB45" s="516"/>
      <c r="BC45" s="516"/>
      <c r="BD45" s="516"/>
      <c r="BE45" s="516"/>
      <c r="BF45" s="516"/>
      <c r="BG45" s="516"/>
      <c r="BH45" s="516"/>
      <c r="BI45" s="516"/>
      <c r="BJ45" s="516"/>
      <c r="BK45" s="516"/>
      <c r="BL45" s="516"/>
      <c r="BM45" s="516"/>
      <c r="BN45" s="1239"/>
      <c r="BO45" s="1174"/>
      <c r="BP45" s="1174"/>
      <c r="BQ45" s="1240"/>
      <c r="BR45" s="516"/>
    </row>
    <row r="46" spans="2:70" s="544" customFormat="1" ht="23.1" customHeight="1">
      <c r="B46" s="1416">
        <f>MAX($B$16:B43)+1</f>
        <v>11</v>
      </c>
      <c r="C46" s="1392" t="s">
        <v>359</v>
      </c>
      <c r="D46" s="1314"/>
      <c r="E46" s="1393"/>
      <c r="F46" s="1417" t="s">
        <v>643</v>
      </c>
      <c r="G46" s="1418"/>
      <c r="H46" s="1419"/>
      <c r="I46" s="1420" t="s">
        <v>644</v>
      </c>
      <c r="J46" s="1421"/>
      <c r="K46" s="1421"/>
      <c r="L46" s="1421"/>
      <c r="M46" s="1421"/>
      <c r="N46" s="1421"/>
      <c r="O46" s="1421"/>
      <c r="P46" s="1421"/>
      <c r="Q46" s="1421"/>
      <c r="R46" s="1421"/>
      <c r="S46" s="1421"/>
      <c r="T46" s="1422"/>
      <c r="U46" s="1420" t="s">
        <v>645</v>
      </c>
      <c r="V46" s="1421"/>
      <c r="W46" s="1421"/>
      <c r="X46" s="1421"/>
      <c r="Y46" s="1421"/>
      <c r="Z46" s="1421"/>
      <c r="AA46" s="1421"/>
      <c r="AB46" s="1421"/>
      <c r="AC46" s="1421"/>
      <c r="AD46" s="1421"/>
      <c r="AE46" s="1421"/>
      <c r="AF46" s="1423"/>
      <c r="AG46" s="1424"/>
      <c r="AH46" s="1215"/>
      <c r="AI46" s="1426"/>
      <c r="AJ46" s="543"/>
      <c r="AK46" s="1428">
        <v>1</v>
      </c>
      <c r="AL46" s="1278">
        <v>3</v>
      </c>
      <c r="AM46" s="1278">
        <f>IF($AG46="該当無",0,1)</f>
        <v>1</v>
      </c>
      <c r="AN46" s="1441">
        <v>1</v>
      </c>
      <c r="AO46" s="1179"/>
      <c r="AP46" s="1278">
        <f>$AK46*$AM46*$AN46</f>
        <v>1</v>
      </c>
      <c r="AQ46" s="1280">
        <f t="shared" ref="AQ46" si="10">$AP46*25/$AM$11</f>
        <v>1</v>
      </c>
      <c r="AR46" s="1438">
        <f>SUM(AQ46:AQ54)</f>
        <v>3</v>
      </c>
      <c r="AS46" s="1267">
        <f>IF($AG46=-1,$AG46*$AO46,IF($AP46=0,0,$AG46/$AL46*$AQ46))</f>
        <v>0</v>
      </c>
      <c r="AT46" s="1438">
        <f>SUM(AS46:AS54)</f>
        <v>0</v>
      </c>
      <c r="AU46" s="516"/>
      <c r="AV46" s="1439">
        <v>3</v>
      </c>
      <c r="AW46" s="1278">
        <v>2</v>
      </c>
      <c r="AX46" s="1278">
        <v>1</v>
      </c>
      <c r="AY46" s="1278">
        <v>0</v>
      </c>
      <c r="AZ46" s="1238"/>
      <c r="BA46" s="516"/>
      <c r="BB46" s="516"/>
      <c r="BC46" s="516"/>
      <c r="BD46" s="516"/>
      <c r="BE46" s="516"/>
      <c r="BF46" s="516"/>
      <c r="BG46" s="516"/>
      <c r="BH46" s="516"/>
      <c r="BI46" s="516"/>
      <c r="BJ46" s="516"/>
      <c r="BK46" s="516"/>
      <c r="BL46" s="516"/>
      <c r="BM46" s="516"/>
      <c r="BN46" s="1239" t="str">
        <f>IF($AG46=0,"今年度","")</f>
        <v>今年度</v>
      </c>
      <c r="BO46" s="1174" t="str">
        <f>IF($AG46=0,"来年度","")</f>
        <v>来年度</v>
      </c>
      <c r="BP46" s="1174" t="str">
        <f>IF($AG46=0,"再来年度","")</f>
        <v>再来年度</v>
      </c>
      <c r="BQ46" s="1240" t="str">
        <f>IF($AG46=0,"未定","")</f>
        <v>未定</v>
      </c>
      <c r="BR46" s="516"/>
    </row>
    <row r="47" spans="2:70" s="544" customFormat="1" ht="23.1" customHeight="1">
      <c r="B47" s="1384"/>
      <c r="C47" s="1392"/>
      <c r="D47" s="1314"/>
      <c r="E47" s="1393"/>
      <c r="F47" s="1253"/>
      <c r="G47" s="1254"/>
      <c r="H47" s="1255"/>
      <c r="I47" s="1256"/>
      <c r="J47" s="1257"/>
      <c r="K47" s="1257"/>
      <c r="L47" s="1257"/>
      <c r="M47" s="1257"/>
      <c r="N47" s="1257"/>
      <c r="O47" s="1257"/>
      <c r="P47" s="1257"/>
      <c r="Q47" s="1257"/>
      <c r="R47" s="1257"/>
      <c r="S47" s="1257"/>
      <c r="T47" s="1258"/>
      <c r="U47" s="1256"/>
      <c r="V47" s="1257"/>
      <c r="W47" s="1257"/>
      <c r="X47" s="1257"/>
      <c r="Y47" s="1257"/>
      <c r="Z47" s="1257"/>
      <c r="AA47" s="1257"/>
      <c r="AB47" s="1257"/>
      <c r="AC47" s="1257"/>
      <c r="AD47" s="1257"/>
      <c r="AE47" s="1257"/>
      <c r="AF47" s="1259"/>
      <c r="AG47" s="1425"/>
      <c r="AH47" s="1216"/>
      <c r="AI47" s="1427"/>
      <c r="AJ47" s="543"/>
      <c r="AK47" s="1428"/>
      <c r="AL47" s="1278"/>
      <c r="AM47" s="1278"/>
      <c r="AN47" s="1441"/>
      <c r="AO47" s="1179"/>
      <c r="AP47" s="1278"/>
      <c r="AQ47" s="1280"/>
      <c r="AR47" s="1438"/>
      <c r="AS47" s="1267"/>
      <c r="AT47" s="1438"/>
      <c r="AU47" s="516"/>
      <c r="AV47" s="1439"/>
      <c r="AW47" s="1278"/>
      <c r="AX47" s="1278"/>
      <c r="AY47" s="1278"/>
      <c r="AZ47" s="1238"/>
      <c r="BA47" s="516"/>
      <c r="BB47" s="516"/>
      <c r="BC47" s="516"/>
      <c r="BD47" s="516"/>
      <c r="BE47" s="516"/>
      <c r="BF47" s="516"/>
      <c r="BG47" s="516"/>
      <c r="BH47" s="516"/>
      <c r="BI47" s="516"/>
      <c r="BJ47" s="516"/>
      <c r="BK47" s="516"/>
      <c r="BL47" s="516"/>
      <c r="BM47" s="516"/>
      <c r="BN47" s="1239"/>
      <c r="BO47" s="1174"/>
      <c r="BP47" s="1174"/>
      <c r="BQ47" s="1240"/>
      <c r="BR47" s="516"/>
    </row>
    <row r="48" spans="2:70" s="544" customFormat="1" ht="23.1" customHeight="1">
      <c r="B48" s="1391"/>
      <c r="C48" s="1392"/>
      <c r="D48" s="1314"/>
      <c r="E48" s="1393"/>
      <c r="F48" s="1253"/>
      <c r="G48" s="1254"/>
      <c r="H48" s="1255"/>
      <c r="I48" s="1256"/>
      <c r="J48" s="1257"/>
      <c r="K48" s="1257"/>
      <c r="L48" s="1257"/>
      <c r="M48" s="1257"/>
      <c r="N48" s="1257"/>
      <c r="O48" s="1257"/>
      <c r="P48" s="1257"/>
      <c r="Q48" s="1257"/>
      <c r="R48" s="1257"/>
      <c r="S48" s="1257"/>
      <c r="T48" s="1258"/>
      <c r="U48" s="1256"/>
      <c r="V48" s="1257"/>
      <c r="W48" s="1257"/>
      <c r="X48" s="1257"/>
      <c r="Y48" s="1257"/>
      <c r="Z48" s="1257"/>
      <c r="AA48" s="1257"/>
      <c r="AB48" s="1257"/>
      <c r="AC48" s="1257"/>
      <c r="AD48" s="1257"/>
      <c r="AE48" s="1257"/>
      <c r="AF48" s="1259"/>
      <c r="AG48" s="1425"/>
      <c r="AH48" s="1216"/>
      <c r="AI48" s="1427"/>
      <c r="AJ48" s="543"/>
      <c r="AK48" s="1429"/>
      <c r="AL48" s="1175"/>
      <c r="AM48" s="1175"/>
      <c r="AN48" s="1176"/>
      <c r="AO48" s="1180"/>
      <c r="AP48" s="1175"/>
      <c r="AQ48" s="1181"/>
      <c r="AR48" s="1245"/>
      <c r="AS48" s="1243"/>
      <c r="AT48" s="1245"/>
      <c r="AU48" s="516"/>
      <c r="AV48" s="1440"/>
      <c r="AW48" s="1175"/>
      <c r="AX48" s="1175"/>
      <c r="AY48" s="1175"/>
      <c r="AZ48" s="1264"/>
      <c r="BA48" s="516"/>
      <c r="BB48" s="516"/>
      <c r="BC48" s="516"/>
      <c r="BD48" s="516"/>
      <c r="BE48" s="516"/>
      <c r="BF48" s="516"/>
      <c r="BG48" s="516"/>
      <c r="BH48" s="516"/>
      <c r="BI48" s="516"/>
      <c r="BJ48" s="516"/>
      <c r="BK48" s="516"/>
      <c r="BL48" s="516"/>
      <c r="BM48" s="516"/>
      <c r="BN48" s="1239"/>
      <c r="BO48" s="1174"/>
      <c r="BP48" s="1174"/>
      <c r="BQ48" s="1240"/>
      <c r="BR48" s="516"/>
    </row>
    <row r="49" spans="2:70" s="544" customFormat="1" ht="20.100000000000001" customHeight="1">
      <c r="B49" s="1430">
        <f>MAX($B$16:B46)+1</f>
        <v>12</v>
      </c>
      <c r="C49" s="1392"/>
      <c r="D49" s="1314"/>
      <c r="E49" s="1393"/>
      <c r="F49" s="1253" t="s">
        <v>646</v>
      </c>
      <c r="G49" s="1254"/>
      <c r="H49" s="1255"/>
      <c r="I49" s="1297" t="s">
        <v>647</v>
      </c>
      <c r="J49" s="1298"/>
      <c r="K49" s="1298"/>
      <c r="L49" s="1298"/>
      <c r="M49" s="1298"/>
      <c r="N49" s="1298"/>
      <c r="O49" s="1298"/>
      <c r="P49" s="1298"/>
      <c r="Q49" s="1298"/>
      <c r="R49" s="1298"/>
      <c r="S49" s="1298"/>
      <c r="T49" s="1433"/>
      <c r="U49" s="1297" t="s">
        <v>648</v>
      </c>
      <c r="V49" s="1298"/>
      <c r="W49" s="1298"/>
      <c r="X49" s="1298"/>
      <c r="Y49" s="1298"/>
      <c r="Z49" s="1298"/>
      <c r="AA49" s="1298"/>
      <c r="AB49" s="1298"/>
      <c r="AC49" s="1298"/>
      <c r="AD49" s="1298"/>
      <c r="AE49" s="1298"/>
      <c r="AF49" s="1299"/>
      <c r="AG49" s="1303"/>
      <c r="AH49" s="1216"/>
      <c r="AI49" s="1218"/>
      <c r="AJ49" s="543"/>
      <c r="AK49" s="1405">
        <v>1</v>
      </c>
      <c r="AL49" s="1281">
        <v>2</v>
      </c>
      <c r="AM49" s="1281">
        <f>IF($AG49="該当無",0,1)</f>
        <v>1</v>
      </c>
      <c r="AN49" s="1283">
        <v>1</v>
      </c>
      <c r="AO49" s="1285"/>
      <c r="AP49" s="1281">
        <f>$AK49*$AM49*$AN49</f>
        <v>1</v>
      </c>
      <c r="AQ49" s="1350">
        <f t="shared" ref="AQ49" si="11">$AP49*25/$AM$11</f>
        <v>1</v>
      </c>
      <c r="AR49" s="1352"/>
      <c r="AS49" s="1354">
        <f>IF(AI49="",0,IF($AG49=-1,$AG49*$AO49,IF($AP49=0,0,$AG49/$AL49*$AQ49)))</f>
        <v>0</v>
      </c>
      <c r="AT49" s="1356"/>
      <c r="AU49" s="516"/>
      <c r="AV49" s="1442">
        <v>2</v>
      </c>
      <c r="AW49" s="1307">
        <v>1</v>
      </c>
      <c r="AX49" s="1307">
        <v>0</v>
      </c>
      <c r="AY49" s="1307" t="s">
        <v>101</v>
      </c>
      <c r="AZ49" s="1309"/>
      <c r="BA49" s="516"/>
      <c r="BB49" s="516"/>
      <c r="BC49" s="516"/>
      <c r="BD49" s="516"/>
      <c r="BE49" s="516"/>
      <c r="BF49" s="516"/>
      <c r="BG49" s="516"/>
      <c r="BH49" s="516"/>
      <c r="BI49" s="516"/>
      <c r="BJ49" s="516"/>
      <c r="BK49" s="516"/>
      <c r="BL49" s="516"/>
      <c r="BM49" s="516"/>
      <c r="BN49" s="1239" t="str">
        <f>IF($AG49=0,"今年度","")</f>
        <v>今年度</v>
      </c>
      <c r="BO49" s="1174" t="str">
        <f>IF($AG49=0,"来年度","")</f>
        <v>来年度</v>
      </c>
      <c r="BP49" s="1174" t="str">
        <f>IF($AG49=0,"再来年度","")</f>
        <v>再来年度</v>
      </c>
      <c r="BQ49" s="1240" t="str">
        <f>IF($AG49=0,"未定","")</f>
        <v>未定</v>
      </c>
      <c r="BR49" s="516"/>
    </row>
    <row r="50" spans="2:70" s="544" customFormat="1" ht="20.100000000000001" customHeight="1">
      <c r="B50" s="1431"/>
      <c r="C50" s="1392"/>
      <c r="D50" s="1314"/>
      <c r="E50" s="1393"/>
      <c r="F50" s="1253"/>
      <c r="G50" s="1254"/>
      <c r="H50" s="1255"/>
      <c r="I50" s="1297"/>
      <c r="J50" s="1298"/>
      <c r="K50" s="1298"/>
      <c r="L50" s="1298"/>
      <c r="M50" s="1298"/>
      <c r="N50" s="1298"/>
      <c r="O50" s="1298"/>
      <c r="P50" s="1298"/>
      <c r="Q50" s="1298"/>
      <c r="R50" s="1298"/>
      <c r="S50" s="1298"/>
      <c r="T50" s="1433"/>
      <c r="U50" s="1297"/>
      <c r="V50" s="1298"/>
      <c r="W50" s="1298"/>
      <c r="X50" s="1298"/>
      <c r="Y50" s="1298"/>
      <c r="Z50" s="1298"/>
      <c r="AA50" s="1298"/>
      <c r="AB50" s="1298"/>
      <c r="AC50" s="1298"/>
      <c r="AD50" s="1298"/>
      <c r="AE50" s="1298"/>
      <c r="AF50" s="1299"/>
      <c r="AG50" s="1303"/>
      <c r="AH50" s="1216"/>
      <c r="AI50" s="1218"/>
      <c r="AJ50" s="543"/>
      <c r="AK50" s="1445"/>
      <c r="AL50" s="1282"/>
      <c r="AM50" s="1282"/>
      <c r="AN50" s="1284"/>
      <c r="AO50" s="1286"/>
      <c r="AP50" s="1282"/>
      <c r="AQ50" s="1351"/>
      <c r="AR50" s="1353"/>
      <c r="AS50" s="1355"/>
      <c r="AT50" s="1357"/>
      <c r="AU50" s="516"/>
      <c r="AV50" s="1443"/>
      <c r="AW50" s="1308"/>
      <c r="AX50" s="1308"/>
      <c r="AY50" s="1308"/>
      <c r="AZ50" s="1310"/>
      <c r="BA50" s="516"/>
      <c r="BB50" s="516"/>
      <c r="BC50" s="516"/>
      <c r="BD50" s="516"/>
      <c r="BE50" s="516"/>
      <c r="BF50" s="516"/>
      <c r="BG50" s="516"/>
      <c r="BH50" s="516"/>
      <c r="BI50" s="516"/>
      <c r="BJ50" s="516"/>
      <c r="BK50" s="516"/>
      <c r="BL50" s="516"/>
      <c r="BM50" s="516"/>
      <c r="BN50" s="1239"/>
      <c r="BO50" s="1174"/>
      <c r="BP50" s="1174"/>
      <c r="BQ50" s="1240"/>
      <c r="BR50" s="516"/>
    </row>
    <row r="51" spans="2:70" s="544" customFormat="1" ht="20.100000000000001" customHeight="1">
      <c r="B51" s="1432"/>
      <c r="C51" s="1392"/>
      <c r="D51" s="1314"/>
      <c r="E51" s="1393"/>
      <c r="F51" s="1253"/>
      <c r="G51" s="1254"/>
      <c r="H51" s="1255"/>
      <c r="I51" s="1297"/>
      <c r="J51" s="1298"/>
      <c r="K51" s="1298"/>
      <c r="L51" s="1298"/>
      <c r="M51" s="1298"/>
      <c r="N51" s="1298"/>
      <c r="O51" s="1298"/>
      <c r="P51" s="1298"/>
      <c r="Q51" s="1298"/>
      <c r="R51" s="1298"/>
      <c r="S51" s="1298"/>
      <c r="T51" s="1433"/>
      <c r="U51" s="1297"/>
      <c r="V51" s="1298"/>
      <c r="W51" s="1298"/>
      <c r="X51" s="1298"/>
      <c r="Y51" s="1298"/>
      <c r="Z51" s="1298"/>
      <c r="AA51" s="1298"/>
      <c r="AB51" s="1298"/>
      <c r="AC51" s="1298"/>
      <c r="AD51" s="1298"/>
      <c r="AE51" s="1298"/>
      <c r="AF51" s="1299"/>
      <c r="AG51" s="1303"/>
      <c r="AH51" s="1216"/>
      <c r="AI51" s="1218"/>
      <c r="AJ51" s="543"/>
      <c r="AK51" s="1446"/>
      <c r="AL51" s="1173"/>
      <c r="AM51" s="1173"/>
      <c r="AN51" s="1368"/>
      <c r="AO51" s="1369"/>
      <c r="AP51" s="1173"/>
      <c r="AQ51" s="1370"/>
      <c r="AR51" s="1361"/>
      <c r="AS51" s="1362"/>
      <c r="AT51" s="1364"/>
      <c r="AU51" s="516"/>
      <c r="AV51" s="1444"/>
      <c r="AW51" s="1366"/>
      <c r="AX51" s="1366"/>
      <c r="AY51" s="1366"/>
      <c r="AZ51" s="1367"/>
      <c r="BA51" s="516"/>
      <c r="BB51" s="516"/>
      <c r="BC51" s="516"/>
      <c r="BD51" s="516"/>
      <c r="BE51" s="516"/>
      <c r="BF51" s="516"/>
      <c r="BG51" s="516"/>
      <c r="BH51" s="516"/>
      <c r="BI51" s="516"/>
      <c r="BJ51" s="516"/>
      <c r="BK51" s="516"/>
      <c r="BL51" s="516"/>
      <c r="BM51" s="516"/>
      <c r="BN51" s="1239"/>
      <c r="BO51" s="1174"/>
      <c r="BP51" s="1174"/>
      <c r="BQ51" s="1240"/>
      <c r="BR51" s="516"/>
    </row>
    <row r="52" spans="2:70" s="544" customFormat="1" ht="35.1" customHeight="1">
      <c r="B52" s="1384">
        <f>MAX($B$16:B49)+1</f>
        <v>13</v>
      </c>
      <c r="C52" s="1392"/>
      <c r="D52" s="1314"/>
      <c r="E52" s="1393"/>
      <c r="F52" s="1202" t="s">
        <v>90</v>
      </c>
      <c r="G52" s="1203"/>
      <c r="H52" s="1204"/>
      <c r="I52" s="1297" t="s">
        <v>783</v>
      </c>
      <c r="J52" s="1298"/>
      <c r="K52" s="1298"/>
      <c r="L52" s="1298"/>
      <c r="M52" s="1298"/>
      <c r="N52" s="1298"/>
      <c r="O52" s="1298"/>
      <c r="P52" s="1298"/>
      <c r="Q52" s="1298"/>
      <c r="R52" s="1298"/>
      <c r="S52" s="1298"/>
      <c r="T52" s="1433"/>
      <c r="U52" s="1297" t="s">
        <v>89</v>
      </c>
      <c r="V52" s="1298"/>
      <c r="W52" s="1298"/>
      <c r="X52" s="1298"/>
      <c r="Y52" s="1298"/>
      <c r="Z52" s="1298"/>
      <c r="AA52" s="1298"/>
      <c r="AB52" s="1298"/>
      <c r="AC52" s="1298"/>
      <c r="AD52" s="1298"/>
      <c r="AE52" s="1298"/>
      <c r="AF52" s="1299"/>
      <c r="AG52" s="1449"/>
      <c r="AH52" s="1216"/>
      <c r="AI52" s="1427"/>
      <c r="AJ52" s="543"/>
      <c r="AK52" s="1428">
        <v>1</v>
      </c>
      <c r="AL52" s="1278">
        <v>1</v>
      </c>
      <c r="AM52" s="1278">
        <f>IF($AG52="該当無",0,1)</f>
        <v>1</v>
      </c>
      <c r="AN52" s="1441">
        <v>1</v>
      </c>
      <c r="AO52" s="1179"/>
      <c r="AP52" s="1278">
        <f>$AK52*$AM52*$AN52</f>
        <v>1</v>
      </c>
      <c r="AQ52" s="1280">
        <f>$AP52*25/$AM$11</f>
        <v>1</v>
      </c>
      <c r="AR52" s="1438"/>
      <c r="AS52" s="1267">
        <f>IF(AI52="",0,IF($AG52=-1,$AG52*$AO52,IF($AP52=0,0,$AG52/$AL52*$AQ52)))</f>
        <v>0</v>
      </c>
      <c r="AT52" s="1438"/>
      <c r="AU52" s="516"/>
      <c r="AV52" s="1439">
        <v>1</v>
      </c>
      <c r="AW52" s="1278">
        <v>0</v>
      </c>
      <c r="AX52" s="1278"/>
      <c r="AY52" s="1278"/>
      <c r="AZ52" s="1238"/>
      <c r="BA52" s="516"/>
      <c r="BB52" s="545"/>
      <c r="BC52" s="545" t="s">
        <v>91</v>
      </c>
      <c r="BD52" s="545" t="s">
        <v>649</v>
      </c>
      <c r="BE52" s="545" t="s">
        <v>48</v>
      </c>
      <c r="BF52" s="545" t="s">
        <v>49</v>
      </c>
      <c r="BG52" s="545" t="s">
        <v>92</v>
      </c>
      <c r="BH52" s="545" t="s">
        <v>50</v>
      </c>
      <c r="BI52" s="545" t="s">
        <v>93</v>
      </c>
      <c r="BJ52" s="545" t="s">
        <v>94</v>
      </c>
      <c r="BK52" s="545" t="s">
        <v>95</v>
      </c>
      <c r="BL52" s="545" t="s">
        <v>51</v>
      </c>
      <c r="BM52" s="516"/>
      <c r="BN52" s="1239" t="str">
        <f>IF($AG52=0,"今年度","")</f>
        <v>今年度</v>
      </c>
      <c r="BO52" s="1174" t="str">
        <f>IF($AG52=0,"来年度","")</f>
        <v>来年度</v>
      </c>
      <c r="BP52" s="1174" t="str">
        <f>IF($AG52=0,"再来年度","")</f>
        <v>再来年度</v>
      </c>
      <c r="BQ52" s="1240" t="str">
        <f>IF($AG52=0,"未定","")</f>
        <v>未定</v>
      </c>
      <c r="BR52" s="516"/>
    </row>
    <row r="53" spans="2:70" s="544" customFormat="1" ht="35.1" customHeight="1">
      <c r="B53" s="1384"/>
      <c r="C53" s="1392"/>
      <c r="D53" s="1314"/>
      <c r="E53" s="1393"/>
      <c r="F53" s="1202"/>
      <c r="G53" s="1203"/>
      <c r="H53" s="1204"/>
      <c r="I53" s="1297"/>
      <c r="J53" s="1298"/>
      <c r="K53" s="1298"/>
      <c r="L53" s="1298"/>
      <c r="M53" s="1298"/>
      <c r="N53" s="1298"/>
      <c r="O53" s="1298"/>
      <c r="P53" s="1298"/>
      <c r="Q53" s="1298"/>
      <c r="R53" s="1298"/>
      <c r="S53" s="1298"/>
      <c r="T53" s="1433"/>
      <c r="U53" s="1297"/>
      <c r="V53" s="1298"/>
      <c r="W53" s="1298"/>
      <c r="X53" s="1298"/>
      <c r="Y53" s="1298"/>
      <c r="Z53" s="1298"/>
      <c r="AA53" s="1298"/>
      <c r="AB53" s="1298"/>
      <c r="AC53" s="1298"/>
      <c r="AD53" s="1298"/>
      <c r="AE53" s="1298"/>
      <c r="AF53" s="1299"/>
      <c r="AG53" s="1449"/>
      <c r="AH53" s="1216"/>
      <c r="AI53" s="1427"/>
      <c r="AJ53" s="543"/>
      <c r="AK53" s="1428"/>
      <c r="AL53" s="1278"/>
      <c r="AM53" s="1278"/>
      <c r="AN53" s="1441"/>
      <c r="AO53" s="1179"/>
      <c r="AP53" s="1278"/>
      <c r="AQ53" s="1280"/>
      <c r="AR53" s="1438"/>
      <c r="AS53" s="1267"/>
      <c r="AT53" s="1438"/>
      <c r="AU53" s="516"/>
      <c r="AV53" s="1439"/>
      <c r="AW53" s="1278"/>
      <c r="AX53" s="1278"/>
      <c r="AY53" s="1278"/>
      <c r="AZ53" s="1238"/>
      <c r="BA53" s="516"/>
      <c r="BB53" s="546" t="s">
        <v>96</v>
      </c>
      <c r="BC53" s="545">
        <v>13</v>
      </c>
      <c r="BD53" s="546">
        <f>COUNTIF($AG$16:$AG$54,"該当無")</f>
        <v>0</v>
      </c>
      <c r="BE53" s="546">
        <f>BC53-BD53</f>
        <v>13</v>
      </c>
      <c r="BF53" s="546">
        <f>COUNTIF($AG$16:$AG$54,"&gt;0")</f>
        <v>0</v>
      </c>
      <c r="BG53" s="545">
        <f>COUNTIF($AG$16:$AG$54,"0")</f>
        <v>0</v>
      </c>
      <c r="BH53" s="546">
        <f>BG53-BL53</f>
        <v>0</v>
      </c>
      <c r="BI53" s="546">
        <f>COUNTIF($AH$16:$AH$54,BI52)</f>
        <v>0</v>
      </c>
      <c r="BJ53" s="546">
        <f>COUNTIF($AH$16:$AH$54,BJ52)</f>
        <v>0</v>
      </c>
      <c r="BK53" s="546">
        <f>COUNTIF($AH$16:$AH$54,BK52)</f>
        <v>0</v>
      </c>
      <c r="BL53" s="546">
        <f>COUNTIF($AH$16:$AH$54,BL52)</f>
        <v>0</v>
      </c>
      <c r="BM53" s="516"/>
      <c r="BN53" s="1239"/>
      <c r="BO53" s="1174"/>
      <c r="BP53" s="1174"/>
      <c r="BQ53" s="1240"/>
      <c r="BR53" s="516"/>
    </row>
    <row r="54" spans="2:70" s="544" customFormat="1" ht="25.15" customHeight="1">
      <c r="B54" s="1333"/>
      <c r="C54" s="1392"/>
      <c r="D54" s="1314"/>
      <c r="E54" s="1393"/>
      <c r="F54" s="1406"/>
      <c r="G54" s="1407"/>
      <c r="H54" s="1408"/>
      <c r="I54" s="1300"/>
      <c r="J54" s="1301"/>
      <c r="K54" s="1301"/>
      <c r="L54" s="1301"/>
      <c r="M54" s="1301"/>
      <c r="N54" s="1301"/>
      <c r="O54" s="1301"/>
      <c r="P54" s="1301"/>
      <c r="Q54" s="1301"/>
      <c r="R54" s="1301"/>
      <c r="S54" s="1301"/>
      <c r="T54" s="1448"/>
      <c r="U54" s="1300"/>
      <c r="V54" s="1301"/>
      <c r="W54" s="1301"/>
      <c r="X54" s="1301"/>
      <c r="Y54" s="1301"/>
      <c r="Z54" s="1301"/>
      <c r="AA54" s="1301"/>
      <c r="AB54" s="1301"/>
      <c r="AC54" s="1301"/>
      <c r="AD54" s="1301"/>
      <c r="AE54" s="1301"/>
      <c r="AF54" s="1302"/>
      <c r="AG54" s="1450"/>
      <c r="AH54" s="1305"/>
      <c r="AI54" s="1451"/>
      <c r="AJ54" s="543"/>
      <c r="AK54" s="1452"/>
      <c r="AL54" s="1377"/>
      <c r="AM54" s="1377"/>
      <c r="AN54" s="1378"/>
      <c r="AO54" s="1379"/>
      <c r="AP54" s="1377"/>
      <c r="AQ54" s="1380"/>
      <c r="AR54" s="1373"/>
      <c r="AS54" s="1372"/>
      <c r="AT54" s="1373"/>
      <c r="AU54" s="516"/>
      <c r="AV54" s="1447"/>
      <c r="AW54" s="1377"/>
      <c r="AX54" s="1377"/>
      <c r="AY54" s="1377"/>
      <c r="AZ54" s="1389"/>
      <c r="BA54" s="516"/>
      <c r="BB54" s="515"/>
      <c r="BM54" s="516"/>
      <c r="BN54" s="1239"/>
      <c r="BO54" s="1174"/>
      <c r="BP54" s="1174"/>
      <c r="BQ54" s="1240"/>
      <c r="BR54" s="516"/>
    </row>
    <row r="55" spans="2:70" ht="21.75" customHeight="1">
      <c r="B55" s="547" t="s">
        <v>698</v>
      </c>
      <c r="C55" s="548"/>
      <c r="D55" s="548"/>
      <c r="E55" s="548"/>
      <c r="F55" s="549"/>
      <c r="G55" s="549"/>
      <c r="H55" s="549"/>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50"/>
      <c r="AH55" s="550"/>
      <c r="AI55" s="551"/>
      <c r="AJ55" s="527"/>
      <c r="AK55" s="552"/>
      <c r="AL55" s="553"/>
      <c r="AM55" s="553"/>
      <c r="AN55" s="553"/>
      <c r="AO55" s="554"/>
      <c r="AP55" s="554"/>
      <c r="AQ55" s="553"/>
      <c r="AR55" s="555">
        <f>SUM(AR56:AR64)</f>
        <v>7</v>
      </c>
      <c r="AS55" s="554"/>
      <c r="AT55" s="556">
        <f>SUM(AT56:AT64)</f>
        <v>0</v>
      </c>
      <c r="AU55" s="516"/>
      <c r="AV55" s="557"/>
      <c r="AW55" s="558"/>
      <c r="AX55" s="558"/>
      <c r="AY55" s="558"/>
      <c r="AZ55" s="559"/>
      <c r="BA55" s="516"/>
      <c r="BB55" s="516"/>
      <c r="BC55" s="516"/>
      <c r="BD55" s="516"/>
      <c r="BE55" s="516"/>
      <c r="BF55" s="516"/>
      <c r="BG55" s="516"/>
      <c r="BH55" s="516"/>
      <c r="BI55" s="516"/>
      <c r="BJ55" s="516"/>
      <c r="BK55" s="516"/>
      <c r="BL55" s="516"/>
      <c r="BM55" s="516"/>
      <c r="BN55" s="540"/>
      <c r="BO55" s="541"/>
      <c r="BP55" s="541"/>
      <c r="BQ55" s="542"/>
      <c r="BR55" s="516"/>
    </row>
    <row r="56" spans="2:70" s="544" customFormat="1" ht="20.25" customHeight="1">
      <c r="B56" s="1456">
        <f>MAX($B$16:B53)+1</f>
        <v>14</v>
      </c>
      <c r="C56" s="1459" t="s">
        <v>650</v>
      </c>
      <c r="D56" s="1338"/>
      <c r="E56" s="1460"/>
      <c r="F56" s="1338" t="s">
        <v>97</v>
      </c>
      <c r="G56" s="1338"/>
      <c r="H56" s="1339"/>
      <c r="I56" s="1345" t="s">
        <v>651</v>
      </c>
      <c r="J56" s="1328"/>
      <c r="K56" s="1328"/>
      <c r="L56" s="1328"/>
      <c r="M56" s="1328"/>
      <c r="N56" s="1328"/>
      <c r="O56" s="1328"/>
      <c r="P56" s="1328"/>
      <c r="Q56" s="1328"/>
      <c r="R56" s="1328"/>
      <c r="S56" s="1328"/>
      <c r="T56" s="1467"/>
      <c r="U56" s="1472" t="s">
        <v>652</v>
      </c>
      <c r="V56" s="1396"/>
      <c r="W56" s="1396"/>
      <c r="X56" s="1396"/>
      <c r="Y56" s="1396"/>
      <c r="Z56" s="1396"/>
      <c r="AA56" s="1396"/>
      <c r="AB56" s="1396"/>
      <c r="AC56" s="1396"/>
      <c r="AD56" s="1396"/>
      <c r="AE56" s="1396"/>
      <c r="AF56" s="1473"/>
      <c r="AG56" s="1474"/>
      <c r="AH56" s="1216"/>
      <c r="AI56" s="1454"/>
      <c r="AJ56" s="543"/>
      <c r="AK56" s="1219">
        <v>2</v>
      </c>
      <c r="AL56" s="1173">
        <v>2</v>
      </c>
      <c r="AM56" s="1455">
        <f>IF($AG56="該当無",0,1)</f>
        <v>1</v>
      </c>
      <c r="AN56" s="1177">
        <v>1</v>
      </c>
      <c r="AO56" s="1249">
        <v>1</v>
      </c>
      <c r="AP56" s="1174">
        <f>$AK56*$AM56*$AN56</f>
        <v>2</v>
      </c>
      <c r="AQ56" s="1279">
        <f>$AP56*7/$AP$11</f>
        <v>2</v>
      </c>
      <c r="AR56" s="1265">
        <f>SUM(AQ56:AQ64)</f>
        <v>7</v>
      </c>
      <c r="AS56" s="1243">
        <f>IF($AG56=-1,$AG56*$AO56,IF($AP56=0,0,$AG56/$AL56*$AQ56))</f>
        <v>0</v>
      </c>
      <c r="AT56" s="1453">
        <f>SUM(AS56:AS64)</f>
        <v>0</v>
      </c>
      <c r="AU56" s="516"/>
      <c r="AV56" s="1439">
        <v>2</v>
      </c>
      <c r="AW56" s="1236">
        <v>1</v>
      </c>
      <c r="AX56" s="1236">
        <v>0</v>
      </c>
      <c r="AY56" s="1236">
        <v>-1</v>
      </c>
      <c r="AZ56" s="1238"/>
      <c r="BA56" s="516"/>
      <c r="BB56" s="516"/>
      <c r="BC56" s="516"/>
      <c r="BD56" s="516"/>
      <c r="BE56" s="516"/>
      <c r="BF56" s="516"/>
      <c r="BG56" s="516"/>
      <c r="BH56" s="516"/>
      <c r="BI56" s="516"/>
      <c r="BJ56" s="516"/>
      <c r="BK56" s="516"/>
      <c r="BL56" s="516"/>
      <c r="BM56" s="516"/>
      <c r="BN56" s="1239" t="str">
        <f>IF($AG56=(-1),"今年度","")</f>
        <v/>
      </c>
      <c r="BO56" s="1174" t="str">
        <f>IF($AG56=(-1),"来年度","")</f>
        <v/>
      </c>
      <c r="BP56" s="1174" t="str">
        <f>IF($AG56=(-1),"再来年度","")</f>
        <v/>
      </c>
      <c r="BQ56" s="1240" t="str">
        <f>IF($AG56=(-1),"未定","")</f>
        <v/>
      </c>
      <c r="BR56" s="516"/>
    </row>
    <row r="57" spans="2:70" s="544" customFormat="1" ht="20.25" customHeight="1">
      <c r="B57" s="1457"/>
      <c r="C57" s="1461"/>
      <c r="D57" s="1462"/>
      <c r="E57" s="1463"/>
      <c r="F57" s="1462"/>
      <c r="G57" s="1462"/>
      <c r="H57" s="1464"/>
      <c r="I57" s="1468"/>
      <c r="J57" s="1399"/>
      <c r="K57" s="1399"/>
      <c r="L57" s="1399"/>
      <c r="M57" s="1399"/>
      <c r="N57" s="1399"/>
      <c r="O57" s="1399"/>
      <c r="P57" s="1399"/>
      <c r="Q57" s="1399"/>
      <c r="R57" s="1399"/>
      <c r="S57" s="1399"/>
      <c r="T57" s="1469"/>
      <c r="U57" s="1272"/>
      <c r="V57" s="1273"/>
      <c r="W57" s="1273"/>
      <c r="X57" s="1273"/>
      <c r="Y57" s="1273"/>
      <c r="Z57" s="1273"/>
      <c r="AA57" s="1273"/>
      <c r="AB57" s="1273"/>
      <c r="AC57" s="1273"/>
      <c r="AD57" s="1273"/>
      <c r="AE57" s="1273"/>
      <c r="AF57" s="1274"/>
      <c r="AG57" s="1475"/>
      <c r="AH57" s="1216"/>
      <c r="AI57" s="1388"/>
      <c r="AJ57" s="543"/>
      <c r="AK57" s="1220"/>
      <c r="AL57" s="1174"/>
      <c r="AM57" s="1278"/>
      <c r="AN57" s="1177"/>
      <c r="AO57" s="1179"/>
      <c r="AP57" s="1174"/>
      <c r="AQ57" s="1280"/>
      <c r="AR57" s="1242"/>
      <c r="AS57" s="1244"/>
      <c r="AT57" s="1246"/>
      <c r="AU57" s="516"/>
      <c r="AV57" s="1439"/>
      <c r="AW57" s="1236"/>
      <c r="AX57" s="1236"/>
      <c r="AY57" s="1236"/>
      <c r="AZ57" s="1238"/>
      <c r="BA57" s="516"/>
      <c r="BB57" s="516"/>
      <c r="BC57" s="516"/>
      <c r="BD57" s="516"/>
      <c r="BE57" s="516"/>
      <c r="BF57" s="516"/>
      <c r="BG57" s="516"/>
      <c r="BH57" s="516"/>
      <c r="BI57" s="516"/>
      <c r="BJ57" s="516"/>
      <c r="BK57" s="516"/>
      <c r="BL57" s="516"/>
      <c r="BM57" s="516"/>
      <c r="BN57" s="1239"/>
      <c r="BO57" s="1174"/>
      <c r="BP57" s="1174"/>
      <c r="BQ57" s="1240"/>
      <c r="BR57" s="516"/>
    </row>
    <row r="58" spans="2:70" s="544" customFormat="1" ht="20.25" customHeight="1">
      <c r="B58" s="1458"/>
      <c r="C58" s="1461"/>
      <c r="D58" s="1462"/>
      <c r="E58" s="1463"/>
      <c r="F58" s="1465"/>
      <c r="G58" s="1465"/>
      <c r="H58" s="1466"/>
      <c r="I58" s="1470"/>
      <c r="J58" s="1402"/>
      <c r="K58" s="1402"/>
      <c r="L58" s="1402"/>
      <c r="M58" s="1402"/>
      <c r="N58" s="1402"/>
      <c r="O58" s="1402"/>
      <c r="P58" s="1402"/>
      <c r="Q58" s="1402"/>
      <c r="R58" s="1402"/>
      <c r="S58" s="1402"/>
      <c r="T58" s="1471"/>
      <c r="U58" s="1272"/>
      <c r="V58" s="1273"/>
      <c r="W58" s="1273"/>
      <c r="X58" s="1273"/>
      <c r="Y58" s="1273"/>
      <c r="Z58" s="1273"/>
      <c r="AA58" s="1273"/>
      <c r="AB58" s="1273"/>
      <c r="AC58" s="1273"/>
      <c r="AD58" s="1273"/>
      <c r="AE58" s="1273"/>
      <c r="AF58" s="1274"/>
      <c r="AG58" s="1476"/>
      <c r="AH58" s="1216"/>
      <c r="AI58" s="1390"/>
      <c r="AJ58" s="543"/>
      <c r="AK58" s="1220"/>
      <c r="AL58" s="1174"/>
      <c r="AM58" s="1175"/>
      <c r="AN58" s="1177"/>
      <c r="AO58" s="1180"/>
      <c r="AP58" s="1174"/>
      <c r="AQ58" s="1181"/>
      <c r="AR58" s="1242"/>
      <c r="AS58" s="1244"/>
      <c r="AT58" s="1246"/>
      <c r="AU58" s="516"/>
      <c r="AV58" s="1440"/>
      <c r="AW58" s="1262"/>
      <c r="AX58" s="1262"/>
      <c r="AY58" s="1262"/>
      <c r="AZ58" s="1264"/>
      <c r="BA58" s="516"/>
      <c r="BB58" s="516"/>
      <c r="BC58" s="516"/>
      <c r="BD58" s="516"/>
      <c r="BE58" s="516"/>
      <c r="BF58" s="516"/>
      <c r="BG58" s="516"/>
      <c r="BH58" s="516"/>
      <c r="BI58" s="516"/>
      <c r="BJ58" s="516"/>
      <c r="BK58" s="516"/>
      <c r="BL58" s="516"/>
      <c r="BM58" s="516"/>
      <c r="BN58" s="1239"/>
      <c r="BO58" s="1174"/>
      <c r="BP58" s="1174"/>
      <c r="BQ58" s="1240"/>
      <c r="BR58" s="516"/>
    </row>
    <row r="59" spans="2:70" s="544" customFormat="1" ht="24.95" customHeight="1">
      <c r="B59" s="1477">
        <f>MAX($B$16:B56)+1</f>
        <v>15</v>
      </c>
      <c r="C59" s="1461"/>
      <c r="D59" s="1462"/>
      <c r="E59" s="1463"/>
      <c r="F59" s="1291" t="s">
        <v>653</v>
      </c>
      <c r="G59" s="1291"/>
      <c r="H59" s="1292"/>
      <c r="I59" s="1482" t="s">
        <v>654</v>
      </c>
      <c r="J59" s="1483"/>
      <c r="K59" s="1483"/>
      <c r="L59" s="1483"/>
      <c r="M59" s="1483"/>
      <c r="N59" s="1483"/>
      <c r="O59" s="1483"/>
      <c r="P59" s="1483"/>
      <c r="Q59" s="1483"/>
      <c r="R59" s="1483"/>
      <c r="S59" s="1483"/>
      <c r="T59" s="1484"/>
      <c r="U59" s="1491" t="s">
        <v>655</v>
      </c>
      <c r="V59" s="1492"/>
      <c r="W59" s="1492"/>
      <c r="X59" s="1492"/>
      <c r="Y59" s="1492"/>
      <c r="Z59" s="1492"/>
      <c r="AA59" s="1492"/>
      <c r="AB59" s="1492"/>
      <c r="AC59" s="1492"/>
      <c r="AD59" s="1492"/>
      <c r="AE59" s="1492"/>
      <c r="AF59" s="1493"/>
      <c r="AG59" s="1494"/>
      <c r="AH59" s="1216"/>
      <c r="AI59" s="1306"/>
      <c r="AJ59" s="543"/>
      <c r="AK59" s="1287">
        <v>3</v>
      </c>
      <c r="AL59" s="1281">
        <v>4</v>
      </c>
      <c r="AM59" s="1281">
        <f>IF($AG59="該当無",0,1)</f>
        <v>1</v>
      </c>
      <c r="AN59" s="1283">
        <v>1</v>
      </c>
      <c r="AO59" s="1285"/>
      <c r="AP59" s="1281">
        <f>$AK59*$AM59*$AN59</f>
        <v>3</v>
      </c>
      <c r="AQ59" s="1350">
        <f t="shared" ref="AQ59" si="12">$AP59*7/$AP$11</f>
        <v>3</v>
      </c>
      <c r="AR59" s="1307"/>
      <c r="AS59" s="1354">
        <f>IF($AG59=-1,$AG59*$AO59,IF($AP59=0,0,$AG59/$AL59*$AQ59))</f>
        <v>0</v>
      </c>
      <c r="AT59" s="1309"/>
      <c r="AU59" s="516"/>
      <c r="AV59" s="1442">
        <v>4</v>
      </c>
      <c r="AW59" s="1307">
        <v>3</v>
      </c>
      <c r="AX59" s="1307">
        <v>2</v>
      </c>
      <c r="AY59" s="1307">
        <v>1</v>
      </c>
      <c r="AZ59" s="1309">
        <v>0</v>
      </c>
      <c r="BA59" s="516"/>
      <c r="BB59" s="516"/>
      <c r="BC59" s="516"/>
      <c r="BD59" s="516"/>
      <c r="BE59" s="516"/>
      <c r="BF59" s="516"/>
      <c r="BG59" s="516"/>
      <c r="BH59" s="516"/>
      <c r="BI59" s="516"/>
      <c r="BJ59" s="516"/>
      <c r="BK59" s="516"/>
      <c r="BL59" s="516"/>
      <c r="BM59" s="516"/>
      <c r="BN59" s="1239" t="str">
        <f>IF($AG59=0,"今年度","")</f>
        <v>今年度</v>
      </c>
      <c r="BO59" s="1174" t="str">
        <f>IF($AG59=0,"来年度","")</f>
        <v>来年度</v>
      </c>
      <c r="BP59" s="1174" t="str">
        <f>IF($AG59=0,"再来年度","")</f>
        <v>再来年度</v>
      </c>
      <c r="BQ59" s="1240" t="str">
        <f>IF($AG59=0,"未定","")</f>
        <v>未定</v>
      </c>
      <c r="BR59" s="516"/>
    </row>
    <row r="60" spans="2:70" s="544" customFormat="1" ht="24.95" customHeight="1">
      <c r="B60" s="1478"/>
      <c r="C60" s="1461"/>
      <c r="D60" s="1462"/>
      <c r="E60" s="1463"/>
      <c r="F60" s="1335"/>
      <c r="G60" s="1335"/>
      <c r="H60" s="1336"/>
      <c r="I60" s="1485"/>
      <c r="J60" s="1486"/>
      <c r="K60" s="1486"/>
      <c r="L60" s="1486"/>
      <c r="M60" s="1486"/>
      <c r="N60" s="1486"/>
      <c r="O60" s="1486"/>
      <c r="P60" s="1486"/>
      <c r="Q60" s="1486"/>
      <c r="R60" s="1486"/>
      <c r="S60" s="1486"/>
      <c r="T60" s="1487"/>
      <c r="U60" s="1398"/>
      <c r="V60" s="1399"/>
      <c r="W60" s="1399"/>
      <c r="X60" s="1399"/>
      <c r="Y60" s="1399"/>
      <c r="Z60" s="1399"/>
      <c r="AA60" s="1399"/>
      <c r="AB60" s="1399"/>
      <c r="AC60" s="1399"/>
      <c r="AD60" s="1399"/>
      <c r="AE60" s="1399"/>
      <c r="AF60" s="1400"/>
      <c r="AG60" s="1495"/>
      <c r="AH60" s="1216"/>
      <c r="AI60" s="1332"/>
      <c r="AJ60" s="543"/>
      <c r="AK60" s="1288"/>
      <c r="AL60" s="1282"/>
      <c r="AM60" s="1282"/>
      <c r="AN60" s="1284"/>
      <c r="AO60" s="1286"/>
      <c r="AP60" s="1282"/>
      <c r="AQ60" s="1351"/>
      <c r="AR60" s="1308"/>
      <c r="AS60" s="1355"/>
      <c r="AT60" s="1310"/>
      <c r="AU60" s="516"/>
      <c r="AV60" s="1443"/>
      <c r="AW60" s="1308"/>
      <c r="AX60" s="1308"/>
      <c r="AY60" s="1308"/>
      <c r="AZ60" s="1310"/>
      <c r="BA60" s="516"/>
      <c r="BB60" s="516"/>
      <c r="BC60" s="516"/>
      <c r="BD60" s="516"/>
      <c r="BE60" s="516"/>
      <c r="BF60" s="516"/>
      <c r="BG60" s="516"/>
      <c r="BH60" s="516"/>
      <c r="BI60" s="516"/>
      <c r="BJ60" s="516"/>
      <c r="BK60" s="516"/>
      <c r="BL60" s="516"/>
      <c r="BM60" s="516"/>
      <c r="BN60" s="1239"/>
      <c r="BO60" s="1174"/>
      <c r="BP60" s="1174"/>
      <c r="BQ60" s="1240"/>
      <c r="BR60" s="516"/>
    </row>
    <row r="61" spans="2:70" s="544" customFormat="1" ht="24.95" customHeight="1">
      <c r="B61" s="1456"/>
      <c r="C61" s="1461"/>
      <c r="D61" s="1462"/>
      <c r="E61" s="1463"/>
      <c r="F61" s="1338"/>
      <c r="G61" s="1338"/>
      <c r="H61" s="1339"/>
      <c r="I61" s="1488"/>
      <c r="J61" s="1489"/>
      <c r="K61" s="1489"/>
      <c r="L61" s="1489"/>
      <c r="M61" s="1489"/>
      <c r="N61" s="1489"/>
      <c r="O61" s="1489"/>
      <c r="P61" s="1489"/>
      <c r="Q61" s="1489"/>
      <c r="R61" s="1489"/>
      <c r="S61" s="1489"/>
      <c r="T61" s="1490"/>
      <c r="U61" s="1401"/>
      <c r="V61" s="1402"/>
      <c r="W61" s="1402"/>
      <c r="X61" s="1402"/>
      <c r="Y61" s="1402"/>
      <c r="Z61" s="1402"/>
      <c r="AA61" s="1402"/>
      <c r="AB61" s="1402"/>
      <c r="AC61" s="1402"/>
      <c r="AD61" s="1402"/>
      <c r="AE61" s="1402"/>
      <c r="AF61" s="1403"/>
      <c r="AG61" s="1496"/>
      <c r="AH61" s="1216"/>
      <c r="AI61" s="1454"/>
      <c r="AJ61" s="543"/>
      <c r="AK61" s="1219"/>
      <c r="AL61" s="1173"/>
      <c r="AM61" s="1173"/>
      <c r="AN61" s="1368"/>
      <c r="AO61" s="1369"/>
      <c r="AP61" s="1173"/>
      <c r="AQ61" s="1370"/>
      <c r="AR61" s="1366"/>
      <c r="AS61" s="1362"/>
      <c r="AT61" s="1367"/>
      <c r="AU61" s="516"/>
      <c r="AV61" s="1444"/>
      <c r="AW61" s="1366"/>
      <c r="AX61" s="1366"/>
      <c r="AY61" s="1366"/>
      <c r="AZ61" s="1367"/>
      <c r="BA61" s="516"/>
      <c r="BB61" s="516"/>
      <c r="BC61" s="516"/>
      <c r="BD61" s="516"/>
      <c r="BE61" s="516"/>
      <c r="BF61" s="516"/>
      <c r="BG61" s="516"/>
      <c r="BH61" s="516"/>
      <c r="BI61" s="516"/>
      <c r="BJ61" s="516"/>
      <c r="BK61" s="516"/>
      <c r="BL61" s="516"/>
      <c r="BM61" s="516"/>
      <c r="BN61" s="1239"/>
      <c r="BO61" s="1174"/>
      <c r="BP61" s="1174"/>
      <c r="BQ61" s="1240"/>
      <c r="BR61" s="516"/>
    </row>
    <row r="62" spans="2:70" s="544" customFormat="1" ht="18" customHeight="1">
      <c r="B62" s="1477">
        <f>MAX($B$16:B59)+1</f>
        <v>16</v>
      </c>
      <c r="C62" s="1461"/>
      <c r="D62" s="1462"/>
      <c r="E62" s="1463"/>
      <c r="F62" s="1291" t="s">
        <v>98</v>
      </c>
      <c r="G62" s="1291"/>
      <c r="H62" s="1292"/>
      <c r="I62" s="1296" t="s">
        <v>656</v>
      </c>
      <c r="J62" s="1301"/>
      <c r="K62" s="1301"/>
      <c r="L62" s="1301"/>
      <c r="M62" s="1301"/>
      <c r="N62" s="1301"/>
      <c r="O62" s="1301"/>
      <c r="P62" s="1301"/>
      <c r="Q62" s="1301"/>
      <c r="R62" s="1301"/>
      <c r="S62" s="1301"/>
      <c r="T62" s="1448"/>
      <c r="U62" s="1300" t="s">
        <v>99</v>
      </c>
      <c r="V62" s="1301"/>
      <c r="W62" s="1301"/>
      <c r="X62" s="1301"/>
      <c r="Y62" s="1301"/>
      <c r="Z62" s="1301"/>
      <c r="AA62" s="1301"/>
      <c r="AB62" s="1301"/>
      <c r="AC62" s="1301"/>
      <c r="AD62" s="1301"/>
      <c r="AE62" s="1301"/>
      <c r="AF62" s="1302"/>
      <c r="AG62" s="1304"/>
      <c r="AH62" s="1216"/>
      <c r="AI62" s="1306"/>
      <c r="AJ62" s="543"/>
      <c r="AK62" s="1376">
        <v>2</v>
      </c>
      <c r="AL62" s="1377">
        <v>3</v>
      </c>
      <c r="AM62" s="1377">
        <f>IF($AG62="該当無",0,1)</f>
        <v>1</v>
      </c>
      <c r="AN62" s="1378">
        <v>1</v>
      </c>
      <c r="AO62" s="1379"/>
      <c r="AP62" s="1377">
        <f>$AK62*$AM62*$AN62</f>
        <v>2</v>
      </c>
      <c r="AQ62" s="1380">
        <f t="shared" ref="AQ62" si="13">$AP62*7/$AP$11</f>
        <v>2</v>
      </c>
      <c r="AR62" s="1371"/>
      <c r="AS62" s="1372">
        <f>IF($AG62=-1,$AG62*$AO62,IF($AP62=0,0,$AG62/$AL62*$AQ62))</f>
        <v>0</v>
      </c>
      <c r="AT62" s="1373"/>
      <c r="AU62" s="516"/>
      <c r="AV62" s="1447">
        <v>3</v>
      </c>
      <c r="AW62" s="1415">
        <v>2</v>
      </c>
      <c r="AX62" s="1415">
        <v>1</v>
      </c>
      <c r="AY62" s="1415">
        <v>0</v>
      </c>
      <c r="AZ62" s="1389"/>
      <c r="BA62" s="516"/>
      <c r="BB62" s="545"/>
      <c r="BC62" s="545" t="s">
        <v>91</v>
      </c>
      <c r="BD62" s="545" t="s">
        <v>649</v>
      </c>
      <c r="BE62" s="545" t="s">
        <v>48</v>
      </c>
      <c r="BF62" s="545" t="s">
        <v>49</v>
      </c>
      <c r="BG62" s="545" t="s">
        <v>92</v>
      </c>
      <c r="BH62" s="545" t="s">
        <v>50</v>
      </c>
      <c r="BI62" s="545" t="s">
        <v>93</v>
      </c>
      <c r="BJ62" s="545" t="s">
        <v>94</v>
      </c>
      <c r="BK62" s="545" t="s">
        <v>95</v>
      </c>
      <c r="BL62" s="545" t="s">
        <v>51</v>
      </c>
      <c r="BM62" s="516"/>
      <c r="BN62" s="1239" t="str">
        <f>IF($AG62=0,"今年度","")</f>
        <v>今年度</v>
      </c>
      <c r="BO62" s="1174" t="str">
        <f>IF($AG62=0,"来年度","")</f>
        <v>来年度</v>
      </c>
      <c r="BP62" s="1174" t="str">
        <f>IF($AG62=0,"再来年度","")</f>
        <v>再来年度</v>
      </c>
      <c r="BQ62" s="1240" t="str">
        <f>IF($AG62=0,"未定","")</f>
        <v>未定</v>
      </c>
      <c r="BR62" s="516"/>
    </row>
    <row r="63" spans="2:70" s="544" customFormat="1" ht="24.75" customHeight="1">
      <c r="B63" s="1478"/>
      <c r="C63" s="1461"/>
      <c r="D63" s="1462"/>
      <c r="E63" s="1463"/>
      <c r="F63" s="1335"/>
      <c r="G63" s="1335"/>
      <c r="H63" s="1336"/>
      <c r="I63" s="1342"/>
      <c r="J63" s="1325"/>
      <c r="K63" s="1325"/>
      <c r="L63" s="1325"/>
      <c r="M63" s="1325"/>
      <c r="N63" s="1325"/>
      <c r="O63" s="1325"/>
      <c r="P63" s="1325"/>
      <c r="Q63" s="1325"/>
      <c r="R63" s="1325"/>
      <c r="S63" s="1325"/>
      <c r="T63" s="1479"/>
      <c r="U63" s="1324"/>
      <c r="V63" s="1325"/>
      <c r="W63" s="1325"/>
      <c r="X63" s="1325"/>
      <c r="Y63" s="1325"/>
      <c r="Z63" s="1325"/>
      <c r="AA63" s="1325"/>
      <c r="AB63" s="1325"/>
      <c r="AC63" s="1325"/>
      <c r="AD63" s="1325"/>
      <c r="AE63" s="1325"/>
      <c r="AF63" s="1326"/>
      <c r="AG63" s="1330"/>
      <c r="AH63" s="1216"/>
      <c r="AI63" s="1332"/>
      <c r="AJ63" s="543"/>
      <c r="AK63" s="1288"/>
      <c r="AL63" s="1282"/>
      <c r="AM63" s="1282"/>
      <c r="AN63" s="1284"/>
      <c r="AO63" s="1286"/>
      <c r="AP63" s="1282"/>
      <c r="AQ63" s="1351"/>
      <c r="AR63" s="1353"/>
      <c r="AS63" s="1355"/>
      <c r="AT63" s="1357"/>
      <c r="AU63" s="516"/>
      <c r="AV63" s="1443"/>
      <c r="AW63" s="1308"/>
      <c r="AX63" s="1308"/>
      <c r="AY63" s="1308"/>
      <c r="AZ63" s="1310"/>
      <c r="BA63" s="516"/>
      <c r="BB63" s="560" t="s">
        <v>657</v>
      </c>
      <c r="BC63" s="545">
        <v>3</v>
      </c>
      <c r="BD63" s="546">
        <f>COUNTIF($AG$56:$AG$64,"該当無")</f>
        <v>0</v>
      </c>
      <c r="BE63" s="546">
        <f>BC63-BD63</f>
        <v>3</v>
      </c>
      <c r="BF63" s="546">
        <f>COUNTIF($AG$59:$AG$64,"&gt;0")+COUNTIF($AG$56,"&gt;-1")</f>
        <v>0</v>
      </c>
      <c r="BG63" s="545">
        <f>COUNTIF($AG$59:$AG$64,"0")+COUNTIF($AG$56,"-1")</f>
        <v>0</v>
      </c>
      <c r="BH63" s="546">
        <f>BG63-BL63</f>
        <v>0</v>
      </c>
      <c r="BI63" s="546">
        <f>COUNTIF($AH$56:$AH$64,BI62)</f>
        <v>0</v>
      </c>
      <c r="BJ63" s="546">
        <f>COUNTIF($AH$56:$AH$64,BJ62)</f>
        <v>0</v>
      </c>
      <c r="BK63" s="546">
        <f>COUNTIF($AH$56:$AH$64,BK62)</f>
        <v>0</v>
      </c>
      <c r="BL63" s="546">
        <f>COUNTIF($AH$56:$AH$64,BL62)</f>
        <v>0</v>
      </c>
      <c r="BM63" s="516"/>
      <c r="BN63" s="1239"/>
      <c r="BO63" s="1174"/>
      <c r="BP63" s="1174"/>
      <c r="BQ63" s="1240"/>
      <c r="BR63" s="516"/>
    </row>
    <row r="64" spans="2:70" s="544" customFormat="1" ht="24.6" customHeight="1">
      <c r="B64" s="1456"/>
      <c r="C64" s="1461"/>
      <c r="D64" s="1462"/>
      <c r="E64" s="1463"/>
      <c r="F64" s="1338"/>
      <c r="G64" s="1338"/>
      <c r="H64" s="1339"/>
      <c r="I64" s="1345"/>
      <c r="J64" s="1328"/>
      <c r="K64" s="1328"/>
      <c r="L64" s="1328"/>
      <c r="M64" s="1328"/>
      <c r="N64" s="1328"/>
      <c r="O64" s="1328"/>
      <c r="P64" s="1328"/>
      <c r="Q64" s="1328"/>
      <c r="R64" s="1328"/>
      <c r="S64" s="1328"/>
      <c r="T64" s="1467"/>
      <c r="U64" s="1327"/>
      <c r="V64" s="1328"/>
      <c r="W64" s="1328"/>
      <c r="X64" s="1328"/>
      <c r="Y64" s="1328"/>
      <c r="Z64" s="1328"/>
      <c r="AA64" s="1328"/>
      <c r="AB64" s="1328"/>
      <c r="AC64" s="1328"/>
      <c r="AD64" s="1328"/>
      <c r="AE64" s="1328"/>
      <c r="AF64" s="1329"/>
      <c r="AG64" s="1480"/>
      <c r="AH64" s="1481"/>
      <c r="AI64" s="1454"/>
      <c r="AJ64" s="543"/>
      <c r="AK64" s="1219"/>
      <c r="AL64" s="1173"/>
      <c r="AM64" s="1173"/>
      <c r="AN64" s="1368"/>
      <c r="AO64" s="1369"/>
      <c r="AP64" s="1173"/>
      <c r="AQ64" s="1370"/>
      <c r="AR64" s="1361"/>
      <c r="AS64" s="1362"/>
      <c r="AT64" s="1364"/>
      <c r="AU64" s="516"/>
      <c r="AV64" s="1444"/>
      <c r="AW64" s="1366"/>
      <c r="AX64" s="1366"/>
      <c r="AY64" s="1366"/>
      <c r="AZ64" s="1367"/>
      <c r="BA64" s="516"/>
      <c r="BB64" s="516"/>
      <c r="BC64" s="516"/>
      <c r="BD64" s="516"/>
      <c r="BE64" s="516"/>
      <c r="BF64" s="516"/>
      <c r="BG64" s="516"/>
      <c r="BH64" s="516"/>
      <c r="BI64" s="516"/>
      <c r="BJ64" s="516"/>
      <c r="BK64" s="516"/>
      <c r="BL64" s="516"/>
      <c r="BM64" s="516"/>
      <c r="BN64" s="1239"/>
      <c r="BO64" s="1174"/>
      <c r="BP64" s="1174"/>
      <c r="BQ64" s="1240"/>
      <c r="BR64" s="516"/>
    </row>
    <row r="65" spans="2:70" s="544" customFormat="1" ht="24.75" customHeight="1">
      <c r="B65" s="547" t="s">
        <v>697</v>
      </c>
      <c r="C65" s="549"/>
      <c r="D65" s="549"/>
      <c r="E65" s="549"/>
      <c r="F65" s="549"/>
      <c r="G65" s="549"/>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50"/>
      <c r="AH65" s="550"/>
      <c r="AI65" s="551"/>
      <c r="AJ65" s="527"/>
      <c r="AK65" s="552"/>
      <c r="AL65" s="553"/>
      <c r="AM65" s="553"/>
      <c r="AN65" s="553"/>
      <c r="AO65" s="554"/>
      <c r="AP65" s="554"/>
      <c r="AQ65" s="553"/>
      <c r="AR65" s="555">
        <f>SUM(AR66:AR92)</f>
        <v>18</v>
      </c>
      <c r="AS65" s="554"/>
      <c r="AT65" s="556">
        <f>SUM(AT66:AT92)</f>
        <v>0</v>
      </c>
      <c r="AU65" s="516"/>
      <c r="AV65" s="557"/>
      <c r="AW65" s="558"/>
      <c r="AX65" s="558"/>
      <c r="AY65" s="558"/>
      <c r="AZ65" s="559"/>
      <c r="BA65" s="516"/>
      <c r="BB65" s="516"/>
      <c r="BC65" s="516"/>
      <c r="BD65" s="516"/>
      <c r="BE65" s="516"/>
      <c r="BF65" s="516"/>
      <c r="BG65" s="516"/>
      <c r="BH65" s="516"/>
      <c r="BI65" s="516"/>
      <c r="BJ65" s="516"/>
      <c r="BK65" s="516"/>
      <c r="BL65" s="516"/>
      <c r="BM65" s="516"/>
      <c r="BN65" s="540"/>
      <c r="BO65" s="541"/>
      <c r="BP65" s="541"/>
      <c r="BQ65" s="542"/>
      <c r="BR65" s="516"/>
    </row>
    <row r="66" spans="2:70" s="544" customFormat="1" ht="12.95" customHeight="1">
      <c r="B66" s="1497">
        <f>MAX($B$16:B64)+1</f>
        <v>17</v>
      </c>
      <c r="C66" s="1392" t="s">
        <v>658</v>
      </c>
      <c r="D66" s="1500"/>
      <c r="E66" s="1501"/>
      <c r="F66" s="1503" t="s">
        <v>97</v>
      </c>
      <c r="G66" s="1504"/>
      <c r="H66" s="1505"/>
      <c r="I66" s="1327" t="s">
        <v>659</v>
      </c>
      <c r="J66" s="1328"/>
      <c r="K66" s="1328"/>
      <c r="L66" s="1328"/>
      <c r="M66" s="1328"/>
      <c r="N66" s="1328"/>
      <c r="O66" s="1328"/>
      <c r="P66" s="1328"/>
      <c r="Q66" s="1328"/>
      <c r="R66" s="1328"/>
      <c r="S66" s="1328"/>
      <c r="T66" s="1329"/>
      <c r="U66" s="1492" t="s">
        <v>660</v>
      </c>
      <c r="V66" s="1492"/>
      <c r="W66" s="1492"/>
      <c r="X66" s="1492"/>
      <c r="Y66" s="1492"/>
      <c r="Z66" s="1492"/>
      <c r="AA66" s="1492"/>
      <c r="AB66" s="1492"/>
      <c r="AC66" s="1492"/>
      <c r="AD66" s="1492"/>
      <c r="AE66" s="1492"/>
      <c r="AF66" s="1493"/>
      <c r="AG66" s="1409"/>
      <c r="AH66" s="1215"/>
      <c r="AI66" s="1387"/>
      <c r="AJ66" s="543"/>
      <c r="AK66" s="1219">
        <v>2</v>
      </c>
      <c r="AL66" s="1173">
        <v>1</v>
      </c>
      <c r="AM66" s="1277">
        <f>IF($AG66="該当無",0,1)</f>
        <v>1</v>
      </c>
      <c r="AN66" s="1177">
        <v>1</v>
      </c>
      <c r="AO66" s="1249"/>
      <c r="AP66" s="1174">
        <f>$AK66*$AM66*$AN66</f>
        <v>2</v>
      </c>
      <c r="AQ66" s="1279">
        <f>$AP66*28/$AS$11</f>
        <v>2</v>
      </c>
      <c r="AR66" s="1265">
        <f>SUM(AQ66:AQ74)</f>
        <v>8</v>
      </c>
      <c r="AS66" s="1243">
        <f>IF(AI66="",0,IF($AG66=-1,$AG66*$AO66,IF($AP66=0,0,$AG66/$AL66*$AQ66)))</f>
        <v>0</v>
      </c>
      <c r="AT66" s="1453">
        <f>SUM(AS66:AS74)</f>
        <v>0</v>
      </c>
      <c r="AU66" s="516"/>
      <c r="AV66" s="1518">
        <v>1</v>
      </c>
      <c r="AW66" s="1261">
        <v>0</v>
      </c>
      <c r="AX66" s="1261"/>
      <c r="AY66" s="1261"/>
      <c r="AZ66" s="1263"/>
      <c r="BA66" s="516"/>
      <c r="BB66" s="516"/>
      <c r="BC66" s="516"/>
      <c r="BD66" s="516"/>
      <c r="BE66" s="516"/>
      <c r="BF66" s="516"/>
      <c r="BG66" s="516"/>
      <c r="BH66" s="516"/>
      <c r="BI66" s="516"/>
      <c r="BJ66" s="516"/>
      <c r="BK66" s="516"/>
      <c r="BL66" s="516"/>
      <c r="BM66" s="516"/>
      <c r="BN66" s="1239" t="str">
        <f>IF($AG66=0,"今年度","")</f>
        <v>今年度</v>
      </c>
      <c r="BO66" s="1174" t="str">
        <f>IF($AG66=0,"来年度","")</f>
        <v>来年度</v>
      </c>
      <c r="BP66" s="1174" t="str">
        <f>IF($AG66=0,"再来年度","")</f>
        <v>再来年度</v>
      </c>
      <c r="BQ66" s="1240" t="str">
        <f>IF($AG66=0,"未定","")</f>
        <v>未定</v>
      </c>
      <c r="BR66" s="516"/>
    </row>
    <row r="67" spans="2:70" s="544" customFormat="1" ht="12.95" customHeight="1">
      <c r="B67" s="1498"/>
      <c r="C67" s="1502"/>
      <c r="D67" s="1500"/>
      <c r="E67" s="1501"/>
      <c r="F67" s="1506"/>
      <c r="G67" s="1507"/>
      <c r="H67" s="1508"/>
      <c r="I67" s="1398"/>
      <c r="J67" s="1399"/>
      <c r="K67" s="1399"/>
      <c r="L67" s="1399"/>
      <c r="M67" s="1399"/>
      <c r="N67" s="1399"/>
      <c r="O67" s="1399"/>
      <c r="P67" s="1399"/>
      <c r="Q67" s="1399"/>
      <c r="R67" s="1399"/>
      <c r="S67" s="1399"/>
      <c r="T67" s="1400"/>
      <c r="U67" s="1399"/>
      <c r="V67" s="1399"/>
      <c r="W67" s="1399"/>
      <c r="X67" s="1399"/>
      <c r="Y67" s="1399"/>
      <c r="Z67" s="1399"/>
      <c r="AA67" s="1399"/>
      <c r="AB67" s="1399"/>
      <c r="AC67" s="1399"/>
      <c r="AD67" s="1399"/>
      <c r="AE67" s="1399"/>
      <c r="AF67" s="1400"/>
      <c r="AG67" s="1410"/>
      <c r="AH67" s="1216"/>
      <c r="AI67" s="1388"/>
      <c r="AJ67" s="543"/>
      <c r="AK67" s="1220"/>
      <c r="AL67" s="1174"/>
      <c r="AM67" s="1278"/>
      <c r="AN67" s="1177"/>
      <c r="AO67" s="1179"/>
      <c r="AP67" s="1174"/>
      <c r="AQ67" s="1280"/>
      <c r="AR67" s="1242"/>
      <c r="AS67" s="1244"/>
      <c r="AT67" s="1246"/>
      <c r="AU67" s="516"/>
      <c r="AV67" s="1439"/>
      <c r="AW67" s="1236"/>
      <c r="AX67" s="1236"/>
      <c r="AY67" s="1236"/>
      <c r="AZ67" s="1238"/>
      <c r="BA67" s="516"/>
      <c r="BB67" s="516"/>
      <c r="BC67" s="516"/>
      <c r="BD67" s="516"/>
      <c r="BE67" s="516"/>
      <c r="BF67" s="516"/>
      <c r="BG67" s="516"/>
      <c r="BH67" s="516"/>
      <c r="BI67" s="516"/>
      <c r="BJ67" s="516"/>
      <c r="BK67" s="516"/>
      <c r="BL67" s="516"/>
      <c r="BM67" s="516"/>
      <c r="BN67" s="1239"/>
      <c r="BO67" s="1174"/>
      <c r="BP67" s="1174"/>
      <c r="BQ67" s="1240"/>
      <c r="BR67" s="516"/>
    </row>
    <row r="68" spans="2:70" s="544" customFormat="1" ht="21" customHeight="1">
      <c r="B68" s="1499"/>
      <c r="C68" s="1502"/>
      <c r="D68" s="1500"/>
      <c r="E68" s="1501"/>
      <c r="F68" s="1509"/>
      <c r="G68" s="1510"/>
      <c r="H68" s="1511"/>
      <c r="I68" s="1398"/>
      <c r="J68" s="1399"/>
      <c r="K68" s="1399"/>
      <c r="L68" s="1399"/>
      <c r="M68" s="1399"/>
      <c r="N68" s="1399"/>
      <c r="O68" s="1399"/>
      <c r="P68" s="1399"/>
      <c r="Q68" s="1399"/>
      <c r="R68" s="1399"/>
      <c r="S68" s="1399"/>
      <c r="T68" s="1400"/>
      <c r="U68" s="1402"/>
      <c r="V68" s="1402"/>
      <c r="W68" s="1402"/>
      <c r="X68" s="1402"/>
      <c r="Y68" s="1402"/>
      <c r="Z68" s="1402"/>
      <c r="AA68" s="1402"/>
      <c r="AB68" s="1402"/>
      <c r="AC68" s="1402"/>
      <c r="AD68" s="1402"/>
      <c r="AE68" s="1402"/>
      <c r="AF68" s="1403"/>
      <c r="AG68" s="1516"/>
      <c r="AH68" s="1216"/>
      <c r="AI68" s="1390"/>
      <c r="AJ68" s="543"/>
      <c r="AK68" s="1220"/>
      <c r="AL68" s="1174"/>
      <c r="AM68" s="1175"/>
      <c r="AN68" s="1177"/>
      <c r="AO68" s="1180"/>
      <c r="AP68" s="1174"/>
      <c r="AQ68" s="1181"/>
      <c r="AR68" s="1242"/>
      <c r="AS68" s="1244"/>
      <c r="AT68" s="1246"/>
      <c r="AU68" s="516"/>
      <c r="AV68" s="1440"/>
      <c r="AW68" s="1262"/>
      <c r="AX68" s="1262"/>
      <c r="AY68" s="1262"/>
      <c r="AZ68" s="1264"/>
      <c r="BA68" s="516"/>
      <c r="BB68" s="516"/>
      <c r="BC68" s="516"/>
      <c r="BD68" s="516"/>
      <c r="BE68" s="516"/>
      <c r="BF68" s="516"/>
      <c r="BG68" s="516"/>
      <c r="BH68" s="516"/>
      <c r="BI68" s="516"/>
      <c r="BJ68" s="516"/>
      <c r="BK68" s="516"/>
      <c r="BL68" s="516"/>
      <c r="BM68" s="516"/>
      <c r="BN68" s="1239"/>
      <c r="BO68" s="1174"/>
      <c r="BP68" s="1174"/>
      <c r="BQ68" s="1240"/>
      <c r="BR68" s="516"/>
    </row>
    <row r="69" spans="2:70" s="544" customFormat="1" ht="23.1" customHeight="1">
      <c r="B69" s="1497">
        <f>MAX($B$16:B66)+1</f>
        <v>18</v>
      </c>
      <c r="C69" s="1502"/>
      <c r="D69" s="1500"/>
      <c r="E69" s="1501"/>
      <c r="F69" s="1512" t="s">
        <v>653</v>
      </c>
      <c r="G69" s="1513"/>
      <c r="H69" s="1514"/>
      <c r="I69" s="1491" t="s">
        <v>661</v>
      </c>
      <c r="J69" s="1492"/>
      <c r="K69" s="1492"/>
      <c r="L69" s="1492"/>
      <c r="M69" s="1492"/>
      <c r="N69" s="1492"/>
      <c r="O69" s="1492"/>
      <c r="P69" s="1492"/>
      <c r="Q69" s="1492"/>
      <c r="R69" s="1492"/>
      <c r="S69" s="1492"/>
      <c r="T69" s="1493"/>
      <c r="U69" s="1491" t="s">
        <v>655</v>
      </c>
      <c r="V69" s="1492"/>
      <c r="W69" s="1492"/>
      <c r="X69" s="1492"/>
      <c r="Y69" s="1492"/>
      <c r="Z69" s="1492"/>
      <c r="AA69" s="1492"/>
      <c r="AB69" s="1492"/>
      <c r="AC69" s="1492"/>
      <c r="AD69" s="1492"/>
      <c r="AE69" s="1492"/>
      <c r="AF69" s="1493"/>
      <c r="AG69" s="1409"/>
      <c r="AH69" s="1216"/>
      <c r="AI69" s="1387"/>
      <c r="AJ69" s="543"/>
      <c r="AK69" s="1220">
        <v>4</v>
      </c>
      <c r="AL69" s="1174">
        <v>4</v>
      </c>
      <c r="AM69" s="1277">
        <f>IF($AG69="該当無",0,1)</f>
        <v>1</v>
      </c>
      <c r="AN69" s="1177">
        <v>1</v>
      </c>
      <c r="AO69" s="1249"/>
      <c r="AP69" s="1174">
        <f>$AK69*$AM69*$AN69</f>
        <v>4</v>
      </c>
      <c r="AQ69" s="1279">
        <f t="shared" ref="AQ69" si="14">$AP69*28/$AS$11</f>
        <v>4</v>
      </c>
      <c r="AR69" s="1517"/>
      <c r="AS69" s="1266">
        <f>IF($AG69=-1,$AG69*$AO69,IF($AP69=0,0,$AG69/$AL69*$AQ69))</f>
        <v>0</v>
      </c>
      <c r="AT69" s="1240"/>
      <c r="AU69" s="516"/>
      <c r="AV69" s="1518">
        <v>4</v>
      </c>
      <c r="AW69" s="1261">
        <v>3</v>
      </c>
      <c r="AX69" s="1261">
        <v>2</v>
      </c>
      <c r="AY69" s="1261">
        <v>1</v>
      </c>
      <c r="AZ69" s="1263">
        <v>0</v>
      </c>
      <c r="BA69" s="516"/>
      <c r="BB69" s="516"/>
      <c r="BC69" s="516"/>
      <c r="BD69" s="516"/>
      <c r="BE69" s="516"/>
      <c r="BF69" s="516"/>
      <c r="BG69" s="516"/>
      <c r="BH69" s="516"/>
      <c r="BI69" s="516"/>
      <c r="BJ69" s="516"/>
      <c r="BK69" s="516"/>
      <c r="BL69" s="516"/>
      <c r="BM69" s="516"/>
      <c r="BN69" s="1239" t="str">
        <f>IF($AG69=0,"今年度","")</f>
        <v>今年度</v>
      </c>
      <c r="BO69" s="1174" t="str">
        <f>IF($AG69=0,"来年度","")</f>
        <v>来年度</v>
      </c>
      <c r="BP69" s="1174" t="str">
        <f>IF($AG69=0,"再来年度","")</f>
        <v>再来年度</v>
      </c>
      <c r="BQ69" s="1240" t="str">
        <f>IF($AG69=0,"未定","")</f>
        <v>未定</v>
      </c>
      <c r="BR69" s="516"/>
    </row>
    <row r="70" spans="2:70" s="544" customFormat="1" ht="23.1" customHeight="1">
      <c r="B70" s="1498"/>
      <c r="C70" s="1502"/>
      <c r="D70" s="1500"/>
      <c r="E70" s="1501"/>
      <c r="F70" s="1515"/>
      <c r="G70" s="1462"/>
      <c r="H70" s="1464"/>
      <c r="I70" s="1398"/>
      <c r="J70" s="1399"/>
      <c r="K70" s="1399"/>
      <c r="L70" s="1399"/>
      <c r="M70" s="1399"/>
      <c r="N70" s="1399"/>
      <c r="O70" s="1399"/>
      <c r="P70" s="1399"/>
      <c r="Q70" s="1399"/>
      <c r="R70" s="1399"/>
      <c r="S70" s="1399"/>
      <c r="T70" s="1400"/>
      <c r="U70" s="1398"/>
      <c r="V70" s="1399"/>
      <c r="W70" s="1399"/>
      <c r="X70" s="1399"/>
      <c r="Y70" s="1399"/>
      <c r="Z70" s="1399"/>
      <c r="AA70" s="1399"/>
      <c r="AB70" s="1399"/>
      <c r="AC70" s="1399"/>
      <c r="AD70" s="1399"/>
      <c r="AE70" s="1399"/>
      <c r="AF70" s="1400"/>
      <c r="AG70" s="1410"/>
      <c r="AH70" s="1216"/>
      <c r="AI70" s="1388"/>
      <c r="AJ70" s="543"/>
      <c r="AK70" s="1220"/>
      <c r="AL70" s="1174"/>
      <c r="AM70" s="1278"/>
      <c r="AN70" s="1177"/>
      <c r="AO70" s="1179"/>
      <c r="AP70" s="1174"/>
      <c r="AQ70" s="1280"/>
      <c r="AR70" s="1517"/>
      <c r="AS70" s="1267"/>
      <c r="AT70" s="1240"/>
      <c r="AU70" s="516"/>
      <c r="AV70" s="1439"/>
      <c r="AW70" s="1236"/>
      <c r="AX70" s="1236"/>
      <c r="AY70" s="1236"/>
      <c r="AZ70" s="1238"/>
      <c r="BA70" s="516"/>
      <c r="BB70" s="516"/>
      <c r="BC70" s="516"/>
      <c r="BD70" s="516"/>
      <c r="BE70" s="516"/>
      <c r="BF70" s="516"/>
      <c r="BG70" s="516"/>
      <c r="BH70" s="516"/>
      <c r="BI70" s="516"/>
      <c r="BJ70" s="516"/>
      <c r="BK70" s="516"/>
      <c r="BL70" s="516"/>
      <c r="BM70" s="516"/>
      <c r="BN70" s="1239"/>
      <c r="BO70" s="1174"/>
      <c r="BP70" s="1174"/>
      <c r="BQ70" s="1240"/>
      <c r="BR70" s="516"/>
    </row>
    <row r="71" spans="2:70" s="544" customFormat="1" ht="26.45" customHeight="1">
      <c r="B71" s="1499"/>
      <c r="C71" s="1502"/>
      <c r="D71" s="1500"/>
      <c r="E71" s="1501"/>
      <c r="F71" s="1515"/>
      <c r="G71" s="1462"/>
      <c r="H71" s="1464"/>
      <c r="I71" s="1401"/>
      <c r="J71" s="1402"/>
      <c r="K71" s="1402"/>
      <c r="L71" s="1402"/>
      <c r="M71" s="1402"/>
      <c r="N71" s="1402"/>
      <c r="O71" s="1402"/>
      <c r="P71" s="1402"/>
      <c r="Q71" s="1402"/>
      <c r="R71" s="1402"/>
      <c r="S71" s="1402"/>
      <c r="T71" s="1403"/>
      <c r="U71" s="1401"/>
      <c r="V71" s="1402"/>
      <c r="W71" s="1402"/>
      <c r="X71" s="1402"/>
      <c r="Y71" s="1402"/>
      <c r="Z71" s="1402"/>
      <c r="AA71" s="1402"/>
      <c r="AB71" s="1402"/>
      <c r="AC71" s="1402"/>
      <c r="AD71" s="1402"/>
      <c r="AE71" s="1402"/>
      <c r="AF71" s="1403"/>
      <c r="AG71" s="1410"/>
      <c r="AH71" s="1216"/>
      <c r="AI71" s="1390"/>
      <c r="AJ71" s="543"/>
      <c r="AK71" s="1220"/>
      <c r="AL71" s="1174"/>
      <c r="AM71" s="1175"/>
      <c r="AN71" s="1177"/>
      <c r="AO71" s="1180"/>
      <c r="AP71" s="1174"/>
      <c r="AQ71" s="1181"/>
      <c r="AR71" s="1517"/>
      <c r="AS71" s="1243"/>
      <c r="AT71" s="1240"/>
      <c r="AU71" s="516"/>
      <c r="AV71" s="1440"/>
      <c r="AW71" s="1262"/>
      <c r="AX71" s="1262"/>
      <c r="AY71" s="1262"/>
      <c r="AZ71" s="1264"/>
      <c r="BA71" s="516"/>
      <c r="BB71" s="516"/>
      <c r="BC71" s="516"/>
      <c r="BD71" s="516"/>
      <c r="BE71" s="516"/>
      <c r="BF71" s="516"/>
      <c r="BG71" s="516"/>
      <c r="BH71" s="516"/>
      <c r="BI71" s="516"/>
      <c r="BJ71" s="516"/>
      <c r="BK71" s="516"/>
      <c r="BL71" s="516"/>
      <c r="BM71" s="516"/>
      <c r="BN71" s="1239"/>
      <c r="BO71" s="1174"/>
      <c r="BP71" s="1174"/>
      <c r="BQ71" s="1240"/>
      <c r="BR71" s="516"/>
    </row>
    <row r="72" spans="2:70" s="544" customFormat="1" ht="30" customHeight="1">
      <c r="B72" s="1430">
        <f>MAX($B$16:B69)+1</f>
        <v>19</v>
      </c>
      <c r="C72" s="1502"/>
      <c r="D72" s="1500"/>
      <c r="E72" s="1501"/>
      <c r="F72" s="1290" t="s">
        <v>662</v>
      </c>
      <c r="G72" s="1291"/>
      <c r="H72" s="1292"/>
      <c r="I72" s="1300" t="s">
        <v>663</v>
      </c>
      <c r="J72" s="1301"/>
      <c r="K72" s="1301"/>
      <c r="L72" s="1301"/>
      <c r="M72" s="1301"/>
      <c r="N72" s="1301"/>
      <c r="O72" s="1301"/>
      <c r="P72" s="1301"/>
      <c r="Q72" s="1301"/>
      <c r="R72" s="1301"/>
      <c r="S72" s="1301"/>
      <c r="T72" s="1448"/>
      <c r="U72" s="1300" t="s">
        <v>664</v>
      </c>
      <c r="V72" s="1301"/>
      <c r="W72" s="1301"/>
      <c r="X72" s="1301"/>
      <c r="Y72" s="1301"/>
      <c r="Z72" s="1301"/>
      <c r="AA72" s="1301"/>
      <c r="AB72" s="1301"/>
      <c r="AC72" s="1301"/>
      <c r="AD72" s="1301"/>
      <c r="AE72" s="1301"/>
      <c r="AF72" s="1302"/>
      <c r="AG72" s="1304"/>
      <c r="AH72" s="1305"/>
      <c r="AI72" s="1306"/>
      <c r="AJ72" s="543"/>
      <c r="AK72" s="1260">
        <v>2</v>
      </c>
      <c r="AL72" s="1174">
        <v>2</v>
      </c>
      <c r="AM72" s="1277">
        <f>IF($AG72="該当無",0,1)</f>
        <v>1</v>
      </c>
      <c r="AN72" s="1177">
        <v>1</v>
      </c>
      <c r="AO72" s="1249"/>
      <c r="AP72" s="1174">
        <f>$AK72*$AM72*$AN72</f>
        <v>2</v>
      </c>
      <c r="AQ72" s="1279">
        <f t="shared" ref="AQ72" si="15">$AP72*28/$AS$11</f>
        <v>2</v>
      </c>
      <c r="AR72" s="1517"/>
      <c r="AS72" s="1266">
        <f>IF(AI72="",0,IF($AG72=-1,$AG72*$AO72,IF($AP72=0,0,$AG72/$AL72*$AQ72)))</f>
        <v>0</v>
      </c>
      <c r="AT72" s="1240"/>
      <c r="AU72" s="516"/>
      <c r="AV72" s="1518">
        <v>2</v>
      </c>
      <c r="AW72" s="1261">
        <v>1</v>
      </c>
      <c r="AX72" s="1261">
        <v>0</v>
      </c>
      <c r="AY72" s="1261" t="s">
        <v>52</v>
      </c>
      <c r="AZ72" s="1520"/>
      <c r="BA72" s="516"/>
      <c r="BB72" s="516"/>
      <c r="BC72" s="516"/>
      <c r="BD72" s="516"/>
      <c r="BE72" s="516"/>
      <c r="BF72" s="516"/>
      <c r="BG72" s="516"/>
      <c r="BH72" s="516"/>
      <c r="BI72" s="516"/>
      <c r="BJ72" s="516"/>
      <c r="BK72" s="516"/>
      <c r="BL72" s="516"/>
      <c r="BM72" s="516"/>
      <c r="BN72" s="1239" t="str">
        <f>IF($AG72=0,"今年度","")</f>
        <v>今年度</v>
      </c>
      <c r="BO72" s="1174" t="str">
        <f>IF($AG72=0,"来年度","")</f>
        <v>来年度</v>
      </c>
      <c r="BP72" s="1174" t="str">
        <f>IF($AG72=0,"再来年度","")</f>
        <v>再来年度</v>
      </c>
      <c r="BQ72" s="1240" t="str">
        <f>IF($AG72=0,"未定","")</f>
        <v>未定</v>
      </c>
      <c r="BR72" s="516"/>
    </row>
    <row r="73" spans="2:70" s="544" customFormat="1" ht="30" customHeight="1">
      <c r="B73" s="1431"/>
      <c r="C73" s="1502"/>
      <c r="D73" s="1500"/>
      <c r="E73" s="1501"/>
      <c r="F73" s="1334"/>
      <c r="G73" s="1335"/>
      <c r="H73" s="1336"/>
      <c r="I73" s="1324"/>
      <c r="J73" s="1325"/>
      <c r="K73" s="1325"/>
      <c r="L73" s="1325"/>
      <c r="M73" s="1325"/>
      <c r="N73" s="1325"/>
      <c r="O73" s="1325"/>
      <c r="P73" s="1325"/>
      <c r="Q73" s="1325"/>
      <c r="R73" s="1325"/>
      <c r="S73" s="1325"/>
      <c r="T73" s="1479"/>
      <c r="U73" s="1324"/>
      <c r="V73" s="1325"/>
      <c r="W73" s="1325"/>
      <c r="X73" s="1325"/>
      <c r="Y73" s="1325"/>
      <c r="Z73" s="1325"/>
      <c r="AA73" s="1325"/>
      <c r="AB73" s="1325"/>
      <c r="AC73" s="1325"/>
      <c r="AD73" s="1325"/>
      <c r="AE73" s="1325"/>
      <c r="AF73" s="1326"/>
      <c r="AG73" s="1330"/>
      <c r="AH73" s="1519"/>
      <c r="AI73" s="1332"/>
      <c r="AJ73" s="543"/>
      <c r="AK73" s="1260"/>
      <c r="AL73" s="1174"/>
      <c r="AM73" s="1278"/>
      <c r="AN73" s="1177"/>
      <c r="AO73" s="1179"/>
      <c r="AP73" s="1174"/>
      <c r="AQ73" s="1280"/>
      <c r="AR73" s="1517"/>
      <c r="AS73" s="1267"/>
      <c r="AT73" s="1240"/>
      <c r="AU73" s="516"/>
      <c r="AV73" s="1439"/>
      <c r="AW73" s="1236"/>
      <c r="AX73" s="1236"/>
      <c r="AY73" s="1236"/>
      <c r="AZ73" s="1521"/>
      <c r="BA73" s="516"/>
      <c r="BB73" s="516"/>
      <c r="BC73" s="516"/>
      <c r="BD73" s="516"/>
      <c r="BE73" s="516"/>
      <c r="BF73" s="516"/>
      <c r="BG73" s="516"/>
      <c r="BH73" s="516"/>
      <c r="BI73" s="516"/>
      <c r="BJ73" s="516"/>
      <c r="BK73" s="516"/>
      <c r="BL73" s="516"/>
      <c r="BM73" s="516"/>
      <c r="BN73" s="1239"/>
      <c r="BO73" s="1174"/>
      <c r="BP73" s="1174"/>
      <c r="BQ73" s="1240"/>
      <c r="BR73" s="516"/>
    </row>
    <row r="74" spans="2:70" s="544" customFormat="1" ht="33.75" customHeight="1">
      <c r="B74" s="1431"/>
      <c r="C74" s="1502"/>
      <c r="D74" s="1500"/>
      <c r="E74" s="1501"/>
      <c r="F74" s="1334"/>
      <c r="G74" s="1335"/>
      <c r="H74" s="1336"/>
      <c r="I74" s="1324"/>
      <c r="J74" s="1325"/>
      <c r="K74" s="1325"/>
      <c r="L74" s="1325"/>
      <c r="M74" s="1325"/>
      <c r="N74" s="1325"/>
      <c r="O74" s="1325"/>
      <c r="P74" s="1325"/>
      <c r="Q74" s="1325"/>
      <c r="R74" s="1325"/>
      <c r="S74" s="1325"/>
      <c r="T74" s="1479"/>
      <c r="U74" s="1324"/>
      <c r="V74" s="1325"/>
      <c r="W74" s="1325"/>
      <c r="X74" s="1325"/>
      <c r="Y74" s="1325"/>
      <c r="Z74" s="1325"/>
      <c r="AA74" s="1325"/>
      <c r="AB74" s="1325"/>
      <c r="AC74" s="1325"/>
      <c r="AD74" s="1325"/>
      <c r="AE74" s="1325"/>
      <c r="AF74" s="1326"/>
      <c r="AG74" s="1330"/>
      <c r="AH74" s="1519"/>
      <c r="AI74" s="1332"/>
      <c r="AJ74" s="543"/>
      <c r="AK74" s="1260"/>
      <c r="AL74" s="1174"/>
      <c r="AM74" s="1175"/>
      <c r="AN74" s="1177"/>
      <c r="AO74" s="1180"/>
      <c r="AP74" s="1174"/>
      <c r="AQ74" s="1181"/>
      <c r="AR74" s="1517"/>
      <c r="AS74" s="1243"/>
      <c r="AT74" s="1240"/>
      <c r="AU74" s="516"/>
      <c r="AV74" s="1440"/>
      <c r="AW74" s="1262"/>
      <c r="AX74" s="1262"/>
      <c r="AY74" s="1262"/>
      <c r="AZ74" s="1522"/>
      <c r="BA74" s="516"/>
      <c r="BB74" s="516"/>
      <c r="BC74" s="516"/>
      <c r="BD74" s="516"/>
      <c r="BE74" s="516"/>
      <c r="BF74" s="516"/>
      <c r="BG74" s="516"/>
      <c r="BH74" s="516"/>
      <c r="BI74" s="516"/>
      <c r="BJ74" s="516"/>
      <c r="BK74" s="516"/>
      <c r="BL74" s="516"/>
      <c r="BM74" s="516"/>
      <c r="BN74" s="1239"/>
      <c r="BO74" s="1174"/>
      <c r="BP74" s="1174"/>
      <c r="BQ74" s="1240"/>
      <c r="BR74" s="516"/>
    </row>
    <row r="75" spans="2:70" s="544" customFormat="1" ht="27.95" customHeight="1">
      <c r="B75" s="1431">
        <f>MAX($B$16:B72)+1</f>
        <v>20</v>
      </c>
      <c r="C75" s="1392" t="s">
        <v>665</v>
      </c>
      <c r="D75" s="1500"/>
      <c r="E75" s="1501"/>
      <c r="F75" s="1523" t="s">
        <v>666</v>
      </c>
      <c r="G75" s="1500"/>
      <c r="H75" s="1158"/>
      <c r="I75" s="1340" t="s">
        <v>667</v>
      </c>
      <c r="J75" s="1341"/>
      <c r="K75" s="1341"/>
      <c r="L75" s="1341"/>
      <c r="M75" s="1341"/>
      <c r="N75" s="1341"/>
      <c r="O75" s="1341"/>
      <c r="P75" s="1341"/>
      <c r="Q75" s="1341"/>
      <c r="R75" s="1341"/>
      <c r="S75" s="1341"/>
      <c r="T75" s="1342"/>
      <c r="U75" s="1324" t="s">
        <v>668</v>
      </c>
      <c r="V75" s="1325"/>
      <c r="W75" s="1325"/>
      <c r="X75" s="1325"/>
      <c r="Y75" s="1325"/>
      <c r="Z75" s="1325"/>
      <c r="AA75" s="1325"/>
      <c r="AB75" s="1325"/>
      <c r="AC75" s="1325"/>
      <c r="AD75" s="1325"/>
      <c r="AE75" s="1325"/>
      <c r="AF75" s="1326"/>
      <c r="AG75" s="1495"/>
      <c r="AH75" s="1519"/>
      <c r="AI75" s="1332"/>
      <c r="AJ75" s="543"/>
      <c r="AK75" s="1288">
        <v>3</v>
      </c>
      <c r="AL75" s="1282">
        <v>3</v>
      </c>
      <c r="AM75" s="1282">
        <f>IF($AG75="該当無",0,1)</f>
        <v>1</v>
      </c>
      <c r="AN75" s="1284">
        <v>1</v>
      </c>
      <c r="AO75" s="1286"/>
      <c r="AP75" s="1282">
        <f>$AK75*$AM75*$AN75</f>
        <v>3</v>
      </c>
      <c r="AQ75" s="1351">
        <f t="shared" ref="AQ75" si="16">$AP75*28/$AS$11</f>
        <v>3</v>
      </c>
      <c r="AR75" s="1360">
        <f>SUM(AQ75:AQ80)</f>
        <v>5</v>
      </c>
      <c r="AS75" s="1355">
        <f>IF($AG75=-1,$AG75*$AO75,IF($AP75=0,0,$AG75/$AL75*$AQ75))</f>
        <v>0</v>
      </c>
      <c r="AT75" s="1363">
        <f>SUM(AS75:AS80)</f>
        <v>0</v>
      </c>
      <c r="AU75" s="516"/>
      <c r="AV75" s="1443">
        <v>3</v>
      </c>
      <c r="AW75" s="1308">
        <v>2</v>
      </c>
      <c r="AX75" s="1308">
        <v>1</v>
      </c>
      <c r="AY75" s="1308">
        <v>0</v>
      </c>
      <c r="AZ75" s="1310"/>
      <c r="BA75" s="516"/>
      <c r="BB75" s="516"/>
      <c r="BC75" s="516"/>
      <c r="BD75" s="516"/>
      <c r="BE75" s="516"/>
      <c r="BF75" s="516"/>
      <c r="BG75" s="516"/>
      <c r="BH75" s="516"/>
      <c r="BI75" s="516"/>
      <c r="BJ75" s="516"/>
      <c r="BK75" s="516"/>
      <c r="BL75" s="516"/>
      <c r="BM75" s="516"/>
      <c r="BN75" s="1239" t="str">
        <f>IF($AG75=0,"今年度","")</f>
        <v>今年度</v>
      </c>
      <c r="BO75" s="1174" t="str">
        <f>IF($AG75=0,"来年度","")</f>
        <v>来年度</v>
      </c>
      <c r="BP75" s="1174" t="str">
        <f>IF($AG75=0,"再来年度","")</f>
        <v>再来年度</v>
      </c>
      <c r="BQ75" s="1240" t="str">
        <f>IF($AG75=0,"未定","")</f>
        <v>未定</v>
      </c>
      <c r="BR75" s="516"/>
    </row>
    <row r="76" spans="2:70" s="544" customFormat="1" ht="27.95" customHeight="1">
      <c r="B76" s="1431"/>
      <c r="C76" s="1502"/>
      <c r="D76" s="1500"/>
      <c r="E76" s="1501"/>
      <c r="F76" s="1523"/>
      <c r="G76" s="1500"/>
      <c r="H76" s="1158"/>
      <c r="I76" s="1340"/>
      <c r="J76" s="1341"/>
      <c r="K76" s="1341"/>
      <c r="L76" s="1341"/>
      <c r="M76" s="1341"/>
      <c r="N76" s="1341"/>
      <c r="O76" s="1341"/>
      <c r="P76" s="1341"/>
      <c r="Q76" s="1341"/>
      <c r="R76" s="1341"/>
      <c r="S76" s="1341"/>
      <c r="T76" s="1342"/>
      <c r="U76" s="1324"/>
      <c r="V76" s="1325"/>
      <c r="W76" s="1325"/>
      <c r="X76" s="1325"/>
      <c r="Y76" s="1325"/>
      <c r="Z76" s="1325"/>
      <c r="AA76" s="1325"/>
      <c r="AB76" s="1325"/>
      <c r="AC76" s="1325"/>
      <c r="AD76" s="1325"/>
      <c r="AE76" s="1325"/>
      <c r="AF76" s="1326"/>
      <c r="AG76" s="1495"/>
      <c r="AH76" s="1519"/>
      <c r="AI76" s="1332"/>
      <c r="AJ76" s="543"/>
      <c r="AK76" s="1288"/>
      <c r="AL76" s="1282"/>
      <c r="AM76" s="1282"/>
      <c r="AN76" s="1284"/>
      <c r="AO76" s="1286"/>
      <c r="AP76" s="1282"/>
      <c r="AQ76" s="1351"/>
      <c r="AR76" s="1353"/>
      <c r="AS76" s="1355"/>
      <c r="AT76" s="1357"/>
      <c r="AU76" s="516"/>
      <c r="AV76" s="1443"/>
      <c r="AW76" s="1308"/>
      <c r="AX76" s="1308"/>
      <c r="AY76" s="1308"/>
      <c r="AZ76" s="1310"/>
      <c r="BA76" s="516"/>
      <c r="BB76" s="516"/>
      <c r="BC76" s="516"/>
      <c r="BD76" s="516"/>
      <c r="BE76" s="516"/>
      <c r="BF76" s="516"/>
      <c r="BG76" s="516"/>
      <c r="BH76" s="516"/>
      <c r="BI76" s="516"/>
      <c r="BJ76" s="516"/>
      <c r="BK76" s="516"/>
      <c r="BL76" s="516"/>
      <c r="BM76" s="516"/>
      <c r="BN76" s="1239"/>
      <c r="BO76" s="1174"/>
      <c r="BP76" s="1174"/>
      <c r="BQ76" s="1240"/>
      <c r="BR76" s="516"/>
    </row>
    <row r="77" spans="2:70" s="544" customFormat="1" ht="9.6" customHeight="1">
      <c r="B77" s="1432"/>
      <c r="C77" s="1502"/>
      <c r="D77" s="1500"/>
      <c r="E77" s="1501"/>
      <c r="F77" s="1524"/>
      <c r="G77" s="1525"/>
      <c r="H77" s="1526"/>
      <c r="I77" s="1472"/>
      <c r="J77" s="1396"/>
      <c r="K77" s="1396"/>
      <c r="L77" s="1396"/>
      <c r="M77" s="1396"/>
      <c r="N77" s="1396"/>
      <c r="O77" s="1396"/>
      <c r="P77" s="1396"/>
      <c r="Q77" s="1396"/>
      <c r="R77" s="1396"/>
      <c r="S77" s="1396"/>
      <c r="T77" s="1397"/>
      <c r="U77" s="1346"/>
      <c r="V77" s="1347"/>
      <c r="W77" s="1347"/>
      <c r="X77" s="1347"/>
      <c r="Y77" s="1347"/>
      <c r="Z77" s="1347"/>
      <c r="AA77" s="1347"/>
      <c r="AB77" s="1347"/>
      <c r="AC77" s="1347"/>
      <c r="AD77" s="1347"/>
      <c r="AE77" s="1347"/>
      <c r="AF77" s="1348"/>
      <c r="AG77" s="1527"/>
      <c r="AH77" s="1215"/>
      <c r="AI77" s="1217"/>
      <c r="AJ77" s="543"/>
      <c r="AK77" s="1219"/>
      <c r="AL77" s="1173"/>
      <c r="AM77" s="1173"/>
      <c r="AN77" s="1368"/>
      <c r="AO77" s="1369"/>
      <c r="AP77" s="1173"/>
      <c r="AQ77" s="1370"/>
      <c r="AR77" s="1361"/>
      <c r="AS77" s="1362"/>
      <c r="AT77" s="1364"/>
      <c r="AU77" s="516"/>
      <c r="AV77" s="1444"/>
      <c r="AW77" s="1366"/>
      <c r="AX77" s="1366"/>
      <c r="AY77" s="1366"/>
      <c r="AZ77" s="1367"/>
      <c r="BA77" s="516"/>
      <c r="BB77" s="516"/>
      <c r="BC77" s="516"/>
      <c r="BD77" s="516"/>
      <c r="BE77" s="516"/>
      <c r="BF77" s="516"/>
      <c r="BG77" s="516"/>
      <c r="BH77" s="516"/>
      <c r="BI77" s="516"/>
      <c r="BJ77" s="516"/>
      <c r="BK77" s="516"/>
      <c r="BL77" s="516"/>
      <c r="BM77" s="516"/>
      <c r="BN77" s="1239"/>
      <c r="BO77" s="1174"/>
      <c r="BP77" s="1174"/>
      <c r="BQ77" s="1240"/>
      <c r="BR77" s="516"/>
    </row>
    <row r="78" spans="2:70" s="544" customFormat="1" ht="21.75" customHeight="1">
      <c r="B78" s="1430">
        <f>MAX($B$16:B75)+1</f>
        <v>21</v>
      </c>
      <c r="C78" s="1502"/>
      <c r="D78" s="1500"/>
      <c r="E78" s="1501"/>
      <c r="F78" s="1406" t="s">
        <v>100</v>
      </c>
      <c r="G78" s="1407"/>
      <c r="H78" s="1408"/>
      <c r="I78" s="1300" t="s">
        <v>669</v>
      </c>
      <c r="J78" s="1301"/>
      <c r="K78" s="1301"/>
      <c r="L78" s="1301"/>
      <c r="M78" s="1301"/>
      <c r="N78" s="1301"/>
      <c r="O78" s="1301"/>
      <c r="P78" s="1301"/>
      <c r="Q78" s="1301"/>
      <c r="R78" s="1301"/>
      <c r="S78" s="1301"/>
      <c r="T78" s="1448"/>
      <c r="U78" s="1300" t="s">
        <v>670</v>
      </c>
      <c r="V78" s="1301"/>
      <c r="W78" s="1301"/>
      <c r="X78" s="1301"/>
      <c r="Y78" s="1301"/>
      <c r="Z78" s="1301"/>
      <c r="AA78" s="1301"/>
      <c r="AB78" s="1301"/>
      <c r="AC78" s="1301"/>
      <c r="AD78" s="1301"/>
      <c r="AE78" s="1301"/>
      <c r="AF78" s="1302"/>
      <c r="AG78" s="1304"/>
      <c r="AH78" s="1305"/>
      <c r="AI78" s="1306"/>
      <c r="AJ78" s="543"/>
      <c r="AK78" s="1260">
        <v>2</v>
      </c>
      <c r="AL78" s="1174">
        <v>2</v>
      </c>
      <c r="AM78" s="1277">
        <f>IF($AG78="該当無",0,1)</f>
        <v>1</v>
      </c>
      <c r="AN78" s="1177">
        <v>1</v>
      </c>
      <c r="AO78" s="1249"/>
      <c r="AP78" s="1174">
        <f>$AK78*$AM78*$AN78</f>
        <v>2</v>
      </c>
      <c r="AQ78" s="1279">
        <f t="shared" ref="AQ78" si="17">$AP78*28/$AS$11</f>
        <v>2</v>
      </c>
      <c r="AR78" s="1517"/>
      <c r="AS78" s="1266">
        <f>IF($AG78=-1,$AG78*$AO78,IF($AP78=0,0,$AG78/$AL78*$AQ78))</f>
        <v>0</v>
      </c>
      <c r="AT78" s="1240"/>
      <c r="AU78" s="516"/>
      <c r="AV78" s="1518">
        <v>2</v>
      </c>
      <c r="AW78" s="1261">
        <v>1</v>
      </c>
      <c r="AX78" s="1261">
        <v>0</v>
      </c>
      <c r="AY78" s="1261" t="s">
        <v>52</v>
      </c>
      <c r="AZ78" s="1263"/>
      <c r="BA78" s="516"/>
      <c r="BB78" s="516"/>
      <c r="BC78" s="516"/>
      <c r="BD78" s="516"/>
      <c r="BE78" s="516"/>
      <c r="BF78" s="516"/>
      <c r="BG78" s="516"/>
      <c r="BH78" s="516"/>
      <c r="BI78" s="516"/>
      <c r="BJ78" s="516"/>
      <c r="BK78" s="516"/>
      <c r="BL78" s="516"/>
      <c r="BM78" s="516"/>
      <c r="BN78" s="1239" t="str">
        <f>IF($AG78=0,"今年度","")</f>
        <v>今年度</v>
      </c>
      <c r="BO78" s="1174" t="str">
        <f>IF($AG78=0,"来年度","")</f>
        <v>来年度</v>
      </c>
      <c r="BP78" s="1174" t="str">
        <f>IF($AG78=0,"再来年度","")</f>
        <v>再来年度</v>
      </c>
      <c r="BQ78" s="1240" t="str">
        <f>IF($AG78=0,"未定","")</f>
        <v>未定</v>
      </c>
      <c r="BR78" s="516"/>
    </row>
    <row r="79" spans="2:70" s="544" customFormat="1" ht="21.75" customHeight="1">
      <c r="B79" s="1431"/>
      <c r="C79" s="1502"/>
      <c r="D79" s="1500"/>
      <c r="E79" s="1501"/>
      <c r="F79" s="1313"/>
      <c r="G79" s="1314"/>
      <c r="H79" s="1315"/>
      <c r="I79" s="1324"/>
      <c r="J79" s="1325"/>
      <c r="K79" s="1325"/>
      <c r="L79" s="1325"/>
      <c r="M79" s="1325"/>
      <c r="N79" s="1325"/>
      <c r="O79" s="1325"/>
      <c r="P79" s="1325"/>
      <c r="Q79" s="1325"/>
      <c r="R79" s="1325"/>
      <c r="S79" s="1325"/>
      <c r="T79" s="1479"/>
      <c r="U79" s="1324"/>
      <c r="V79" s="1325"/>
      <c r="W79" s="1325"/>
      <c r="X79" s="1325"/>
      <c r="Y79" s="1325"/>
      <c r="Z79" s="1325"/>
      <c r="AA79" s="1325"/>
      <c r="AB79" s="1325"/>
      <c r="AC79" s="1325"/>
      <c r="AD79" s="1325"/>
      <c r="AE79" s="1325"/>
      <c r="AF79" s="1326"/>
      <c r="AG79" s="1330"/>
      <c r="AH79" s="1519"/>
      <c r="AI79" s="1332"/>
      <c r="AJ79" s="543"/>
      <c r="AK79" s="1260"/>
      <c r="AL79" s="1174"/>
      <c r="AM79" s="1278"/>
      <c r="AN79" s="1177"/>
      <c r="AO79" s="1179"/>
      <c r="AP79" s="1174"/>
      <c r="AQ79" s="1280"/>
      <c r="AR79" s="1517"/>
      <c r="AS79" s="1267"/>
      <c r="AT79" s="1240"/>
      <c r="AU79" s="516"/>
      <c r="AV79" s="1439"/>
      <c r="AW79" s="1236"/>
      <c r="AX79" s="1236"/>
      <c r="AY79" s="1236"/>
      <c r="AZ79" s="1238"/>
      <c r="BA79" s="516"/>
      <c r="BB79" s="516"/>
      <c r="BC79" s="516"/>
      <c r="BD79" s="516"/>
      <c r="BE79" s="516"/>
      <c r="BF79" s="516"/>
      <c r="BG79" s="516"/>
      <c r="BH79" s="516"/>
      <c r="BI79" s="516"/>
      <c r="BJ79" s="516"/>
      <c r="BK79" s="516"/>
      <c r="BL79" s="516"/>
      <c r="BM79" s="516"/>
      <c r="BN79" s="1239"/>
      <c r="BO79" s="1174"/>
      <c r="BP79" s="1174"/>
      <c r="BQ79" s="1240"/>
      <c r="BR79" s="516"/>
    </row>
    <row r="80" spans="2:70" s="544" customFormat="1" ht="17.45" customHeight="1">
      <c r="B80" s="1431"/>
      <c r="C80" s="1502"/>
      <c r="D80" s="1500"/>
      <c r="E80" s="1501"/>
      <c r="F80" s="1313"/>
      <c r="G80" s="1314"/>
      <c r="H80" s="1315"/>
      <c r="I80" s="1324"/>
      <c r="J80" s="1325"/>
      <c r="K80" s="1325"/>
      <c r="L80" s="1325"/>
      <c r="M80" s="1325"/>
      <c r="N80" s="1325"/>
      <c r="O80" s="1325"/>
      <c r="P80" s="1325"/>
      <c r="Q80" s="1325"/>
      <c r="R80" s="1325"/>
      <c r="S80" s="1325"/>
      <c r="T80" s="1479"/>
      <c r="U80" s="1324"/>
      <c r="V80" s="1325"/>
      <c r="W80" s="1325"/>
      <c r="X80" s="1325"/>
      <c r="Y80" s="1325"/>
      <c r="Z80" s="1325"/>
      <c r="AA80" s="1325"/>
      <c r="AB80" s="1325"/>
      <c r="AC80" s="1325"/>
      <c r="AD80" s="1325"/>
      <c r="AE80" s="1325"/>
      <c r="AF80" s="1326"/>
      <c r="AG80" s="1330"/>
      <c r="AH80" s="1519"/>
      <c r="AI80" s="1332"/>
      <c r="AJ80" s="543"/>
      <c r="AK80" s="1260"/>
      <c r="AL80" s="1174"/>
      <c r="AM80" s="1175"/>
      <c r="AN80" s="1177"/>
      <c r="AO80" s="1180"/>
      <c r="AP80" s="1174"/>
      <c r="AQ80" s="1181"/>
      <c r="AR80" s="1517"/>
      <c r="AS80" s="1243"/>
      <c r="AT80" s="1240"/>
      <c r="AU80" s="516"/>
      <c r="AV80" s="1440"/>
      <c r="AW80" s="1262"/>
      <c r="AX80" s="1262"/>
      <c r="AY80" s="1262"/>
      <c r="AZ80" s="1264"/>
      <c r="BA80" s="516"/>
      <c r="BB80" s="516"/>
      <c r="BC80" s="516"/>
      <c r="BD80" s="516"/>
      <c r="BE80" s="516"/>
      <c r="BF80" s="516"/>
      <c r="BG80" s="516"/>
      <c r="BH80" s="516"/>
      <c r="BI80" s="516"/>
      <c r="BJ80" s="516"/>
      <c r="BK80" s="516"/>
      <c r="BL80" s="516"/>
      <c r="BM80" s="516"/>
      <c r="BN80" s="1239"/>
      <c r="BO80" s="1174"/>
      <c r="BP80" s="1174"/>
      <c r="BQ80" s="1240"/>
      <c r="BR80" s="516"/>
    </row>
    <row r="81" spans="2:70" s="544" customFormat="1" ht="22.5" customHeight="1">
      <c r="B81" s="1431">
        <f>MAX($B$16:B78)+1</f>
        <v>22</v>
      </c>
      <c r="C81" s="1392" t="s">
        <v>671</v>
      </c>
      <c r="D81" s="1314"/>
      <c r="E81" s="1393"/>
      <c r="F81" s="1334" t="s">
        <v>672</v>
      </c>
      <c r="G81" s="1335"/>
      <c r="H81" s="1336"/>
      <c r="I81" s="1324" t="s">
        <v>673</v>
      </c>
      <c r="J81" s="1325"/>
      <c r="K81" s="1325"/>
      <c r="L81" s="1325"/>
      <c r="M81" s="1325"/>
      <c r="N81" s="1325"/>
      <c r="O81" s="1325"/>
      <c r="P81" s="1325"/>
      <c r="Q81" s="1325"/>
      <c r="R81" s="1325"/>
      <c r="S81" s="1325"/>
      <c r="T81" s="1479"/>
      <c r="U81" s="1324" t="s">
        <v>674</v>
      </c>
      <c r="V81" s="1325"/>
      <c r="W81" s="1325"/>
      <c r="X81" s="1325"/>
      <c r="Y81" s="1325"/>
      <c r="Z81" s="1325"/>
      <c r="AA81" s="1325"/>
      <c r="AB81" s="1325"/>
      <c r="AC81" s="1325"/>
      <c r="AD81" s="1325"/>
      <c r="AE81" s="1325"/>
      <c r="AF81" s="1326"/>
      <c r="AG81" s="1495"/>
      <c r="AH81" s="1519"/>
      <c r="AI81" s="1332"/>
      <c r="AJ81" s="543"/>
      <c r="AK81" s="1445">
        <v>1</v>
      </c>
      <c r="AL81" s="1282">
        <v>2</v>
      </c>
      <c r="AM81" s="1282">
        <f>IF($AG81="該当無",0,1)</f>
        <v>1</v>
      </c>
      <c r="AN81" s="1284">
        <v>1</v>
      </c>
      <c r="AO81" s="1286"/>
      <c r="AP81" s="1282">
        <f>$AK81*$AM81*$AN81</f>
        <v>1</v>
      </c>
      <c r="AQ81" s="1351">
        <f t="shared" ref="AQ81" si="18">$AP81*28/$AS$11</f>
        <v>1</v>
      </c>
      <c r="AR81" s="1360">
        <f>SUM(AQ81:AQ92)</f>
        <v>5</v>
      </c>
      <c r="AS81" s="1355">
        <f>IF($AG81=-1,$AG81*$AO81,IF($AP81=0,0,$AG81/$AL81*$AQ81))</f>
        <v>0</v>
      </c>
      <c r="AT81" s="1363">
        <f>SUM(AS81:AS92)</f>
        <v>0</v>
      </c>
      <c r="AU81" s="516"/>
      <c r="AV81" s="1443">
        <v>2</v>
      </c>
      <c r="AW81" s="1308">
        <v>1</v>
      </c>
      <c r="AX81" s="1308">
        <v>0</v>
      </c>
      <c r="AY81" s="1308" t="s">
        <v>101</v>
      </c>
      <c r="AZ81" s="1310"/>
      <c r="BA81" s="516"/>
      <c r="BB81" s="516"/>
      <c r="BC81" s="516"/>
      <c r="BD81" s="516"/>
      <c r="BE81" s="516"/>
      <c r="BF81" s="516"/>
      <c r="BG81" s="516"/>
      <c r="BH81" s="516"/>
      <c r="BI81" s="516"/>
      <c r="BJ81" s="516"/>
      <c r="BK81" s="516"/>
      <c r="BL81" s="516"/>
      <c r="BM81" s="516"/>
      <c r="BN81" s="1239" t="str">
        <f>IF($AG81=0,"今年度","")</f>
        <v>今年度</v>
      </c>
      <c r="BO81" s="1174" t="str">
        <f>IF($AG81=0,"来年度","")</f>
        <v>来年度</v>
      </c>
      <c r="BP81" s="1174" t="str">
        <f>IF($AG81=0,"再来年度","")</f>
        <v>再来年度</v>
      </c>
      <c r="BQ81" s="1240" t="str">
        <f>IF($AG81=0,"未定","")</f>
        <v>未定</v>
      </c>
      <c r="BR81" s="516"/>
    </row>
    <row r="82" spans="2:70" s="544" customFormat="1" ht="22.5" customHeight="1">
      <c r="B82" s="1431"/>
      <c r="C82" s="1392"/>
      <c r="D82" s="1314"/>
      <c r="E82" s="1393"/>
      <c r="F82" s="1334"/>
      <c r="G82" s="1335"/>
      <c r="H82" s="1336"/>
      <c r="I82" s="1324"/>
      <c r="J82" s="1325"/>
      <c r="K82" s="1325"/>
      <c r="L82" s="1325"/>
      <c r="M82" s="1325"/>
      <c r="N82" s="1325"/>
      <c r="O82" s="1325"/>
      <c r="P82" s="1325"/>
      <c r="Q82" s="1325"/>
      <c r="R82" s="1325"/>
      <c r="S82" s="1325"/>
      <c r="T82" s="1479"/>
      <c r="U82" s="1324"/>
      <c r="V82" s="1325"/>
      <c r="W82" s="1325"/>
      <c r="X82" s="1325"/>
      <c r="Y82" s="1325"/>
      <c r="Z82" s="1325"/>
      <c r="AA82" s="1325"/>
      <c r="AB82" s="1325"/>
      <c r="AC82" s="1325"/>
      <c r="AD82" s="1325"/>
      <c r="AE82" s="1325"/>
      <c r="AF82" s="1326"/>
      <c r="AG82" s="1495"/>
      <c r="AH82" s="1519"/>
      <c r="AI82" s="1332"/>
      <c r="AJ82" s="543"/>
      <c r="AK82" s="1445"/>
      <c r="AL82" s="1282"/>
      <c r="AM82" s="1282"/>
      <c r="AN82" s="1284"/>
      <c r="AO82" s="1286"/>
      <c r="AP82" s="1282"/>
      <c r="AQ82" s="1351"/>
      <c r="AR82" s="1353"/>
      <c r="AS82" s="1355"/>
      <c r="AT82" s="1357"/>
      <c r="AU82" s="516"/>
      <c r="AV82" s="1443"/>
      <c r="AW82" s="1308"/>
      <c r="AX82" s="1308"/>
      <c r="AY82" s="1308"/>
      <c r="AZ82" s="1310"/>
      <c r="BA82" s="516"/>
      <c r="BB82" s="516"/>
      <c r="BC82" s="516"/>
      <c r="BD82" s="516"/>
      <c r="BE82" s="516"/>
      <c r="BF82" s="516"/>
      <c r="BG82" s="516"/>
      <c r="BH82" s="516"/>
      <c r="BI82" s="516"/>
      <c r="BJ82" s="516"/>
      <c r="BK82" s="516"/>
      <c r="BL82" s="516"/>
      <c r="BM82" s="516"/>
      <c r="BN82" s="1239"/>
      <c r="BO82" s="1174"/>
      <c r="BP82" s="1174"/>
      <c r="BQ82" s="1240"/>
      <c r="BR82" s="516"/>
    </row>
    <row r="83" spans="2:70" s="544" customFormat="1" ht="22.5" customHeight="1">
      <c r="B83" s="1432"/>
      <c r="C83" s="1392"/>
      <c r="D83" s="1314"/>
      <c r="E83" s="1393"/>
      <c r="F83" s="1334"/>
      <c r="G83" s="1335"/>
      <c r="H83" s="1336"/>
      <c r="I83" s="1346"/>
      <c r="J83" s="1347"/>
      <c r="K83" s="1347"/>
      <c r="L83" s="1347"/>
      <c r="M83" s="1347"/>
      <c r="N83" s="1347"/>
      <c r="O83" s="1347"/>
      <c r="P83" s="1347"/>
      <c r="Q83" s="1347"/>
      <c r="R83" s="1347"/>
      <c r="S83" s="1347"/>
      <c r="T83" s="1528"/>
      <c r="U83" s="1346"/>
      <c r="V83" s="1347"/>
      <c r="W83" s="1347"/>
      <c r="X83" s="1347"/>
      <c r="Y83" s="1347"/>
      <c r="Z83" s="1347"/>
      <c r="AA83" s="1347"/>
      <c r="AB83" s="1347"/>
      <c r="AC83" s="1347"/>
      <c r="AD83" s="1347"/>
      <c r="AE83" s="1347"/>
      <c r="AF83" s="1348"/>
      <c r="AG83" s="1527"/>
      <c r="AH83" s="1215"/>
      <c r="AI83" s="1217"/>
      <c r="AJ83" s="543"/>
      <c r="AK83" s="1446"/>
      <c r="AL83" s="1173"/>
      <c r="AM83" s="1173"/>
      <c r="AN83" s="1368"/>
      <c r="AO83" s="1369"/>
      <c r="AP83" s="1173"/>
      <c r="AQ83" s="1370"/>
      <c r="AR83" s="1361"/>
      <c r="AS83" s="1362"/>
      <c r="AT83" s="1364"/>
      <c r="AU83" s="516"/>
      <c r="AV83" s="1444"/>
      <c r="AW83" s="1366"/>
      <c r="AX83" s="1366"/>
      <c r="AY83" s="1366"/>
      <c r="AZ83" s="1367"/>
      <c r="BA83" s="516"/>
      <c r="BB83" s="516"/>
      <c r="BC83" s="516"/>
      <c r="BD83" s="516"/>
      <c r="BE83" s="516"/>
      <c r="BF83" s="516"/>
      <c r="BG83" s="516"/>
      <c r="BH83" s="516"/>
      <c r="BI83" s="516"/>
      <c r="BJ83" s="516"/>
      <c r="BK83" s="516"/>
      <c r="BL83" s="516"/>
      <c r="BM83" s="516"/>
      <c r="BN83" s="1239"/>
      <c r="BO83" s="1174"/>
      <c r="BP83" s="1174"/>
      <c r="BQ83" s="1240"/>
      <c r="BR83" s="516"/>
    </row>
    <row r="84" spans="2:70" s="544" customFormat="1" ht="24.95" customHeight="1">
      <c r="B84" s="1497">
        <f>MAX($B$16:B81)+1</f>
        <v>23</v>
      </c>
      <c r="C84" s="1392"/>
      <c r="D84" s="1314"/>
      <c r="E84" s="1393"/>
      <c r="F84" s="1334"/>
      <c r="G84" s="1335"/>
      <c r="H84" s="1336"/>
      <c r="I84" s="1491" t="s">
        <v>675</v>
      </c>
      <c r="J84" s="1492"/>
      <c r="K84" s="1492"/>
      <c r="L84" s="1492"/>
      <c r="M84" s="1492"/>
      <c r="N84" s="1492"/>
      <c r="O84" s="1492"/>
      <c r="P84" s="1492"/>
      <c r="Q84" s="1492"/>
      <c r="R84" s="1492"/>
      <c r="S84" s="1492"/>
      <c r="T84" s="1529"/>
      <c r="U84" s="1491" t="s">
        <v>676</v>
      </c>
      <c r="V84" s="1492"/>
      <c r="W84" s="1492"/>
      <c r="X84" s="1492"/>
      <c r="Y84" s="1492"/>
      <c r="Z84" s="1492"/>
      <c r="AA84" s="1492"/>
      <c r="AB84" s="1492"/>
      <c r="AC84" s="1492"/>
      <c r="AD84" s="1492"/>
      <c r="AE84" s="1492"/>
      <c r="AF84" s="1493"/>
      <c r="AG84" s="1409"/>
      <c r="AH84" s="1216"/>
      <c r="AI84" s="1387"/>
      <c r="AJ84" s="543"/>
      <c r="AK84" s="1260">
        <v>1</v>
      </c>
      <c r="AL84" s="1174">
        <v>3</v>
      </c>
      <c r="AM84" s="1277">
        <f>IF($AG84="該当無",0,1)</f>
        <v>1</v>
      </c>
      <c r="AN84" s="1177">
        <v>1</v>
      </c>
      <c r="AO84" s="1249"/>
      <c r="AP84" s="1174">
        <f>$AK84*$AM84*$AN84</f>
        <v>1</v>
      </c>
      <c r="AQ84" s="1279">
        <f t="shared" ref="AQ84" si="19">$AP84*28/$AS$11</f>
        <v>1</v>
      </c>
      <c r="AR84" s="1265"/>
      <c r="AS84" s="1266">
        <f>IF($AG84=-1,$AG84*$AO84,IF($AP84=0,0,$AG84/$AL84*$AQ84))</f>
        <v>0</v>
      </c>
      <c r="AT84" s="1268"/>
      <c r="AU84" s="516"/>
      <c r="AV84" s="1518">
        <v>3</v>
      </c>
      <c r="AW84" s="1261">
        <v>2</v>
      </c>
      <c r="AX84" s="1261">
        <v>1</v>
      </c>
      <c r="AY84" s="1261">
        <v>0</v>
      </c>
      <c r="AZ84" s="1263" t="s">
        <v>101</v>
      </c>
      <c r="BA84" s="516"/>
      <c r="BB84" s="516"/>
      <c r="BC84" s="516"/>
      <c r="BD84" s="516"/>
      <c r="BE84" s="516"/>
      <c r="BF84" s="516"/>
      <c r="BG84" s="516"/>
      <c r="BH84" s="516"/>
      <c r="BI84" s="516"/>
      <c r="BJ84" s="516"/>
      <c r="BK84" s="516"/>
      <c r="BL84" s="516"/>
      <c r="BM84" s="516"/>
      <c r="BN84" s="1239" t="str">
        <f>IF($AG84=0,"今年度","")</f>
        <v>今年度</v>
      </c>
      <c r="BO84" s="1174" t="str">
        <f>IF($AG84=0,"来年度","")</f>
        <v>来年度</v>
      </c>
      <c r="BP84" s="1174" t="str">
        <f>IF($AG84=0,"再来年度","")</f>
        <v>再来年度</v>
      </c>
      <c r="BQ84" s="1240" t="str">
        <f>IF($AG84=0,"未定","")</f>
        <v>未定</v>
      </c>
      <c r="BR84" s="516"/>
    </row>
    <row r="85" spans="2:70" s="544" customFormat="1" ht="24.95" customHeight="1">
      <c r="B85" s="1498"/>
      <c r="C85" s="1392"/>
      <c r="D85" s="1314"/>
      <c r="E85" s="1393"/>
      <c r="F85" s="1334"/>
      <c r="G85" s="1335"/>
      <c r="H85" s="1336"/>
      <c r="I85" s="1398"/>
      <c r="J85" s="1399"/>
      <c r="K85" s="1399"/>
      <c r="L85" s="1399"/>
      <c r="M85" s="1399"/>
      <c r="N85" s="1399"/>
      <c r="O85" s="1399"/>
      <c r="P85" s="1399"/>
      <c r="Q85" s="1399"/>
      <c r="R85" s="1399"/>
      <c r="S85" s="1399"/>
      <c r="T85" s="1469"/>
      <c r="U85" s="1398"/>
      <c r="V85" s="1399"/>
      <c r="W85" s="1399"/>
      <c r="X85" s="1399"/>
      <c r="Y85" s="1399"/>
      <c r="Z85" s="1399"/>
      <c r="AA85" s="1399"/>
      <c r="AB85" s="1399"/>
      <c r="AC85" s="1399"/>
      <c r="AD85" s="1399"/>
      <c r="AE85" s="1399"/>
      <c r="AF85" s="1400"/>
      <c r="AG85" s="1410"/>
      <c r="AH85" s="1216"/>
      <c r="AI85" s="1388"/>
      <c r="AJ85" s="543"/>
      <c r="AK85" s="1260"/>
      <c r="AL85" s="1174"/>
      <c r="AM85" s="1278"/>
      <c r="AN85" s="1177"/>
      <c r="AO85" s="1179"/>
      <c r="AP85" s="1174"/>
      <c r="AQ85" s="1280"/>
      <c r="AR85" s="1242"/>
      <c r="AS85" s="1267"/>
      <c r="AT85" s="1246"/>
      <c r="AU85" s="516"/>
      <c r="AV85" s="1439"/>
      <c r="AW85" s="1236"/>
      <c r="AX85" s="1236"/>
      <c r="AY85" s="1236"/>
      <c r="AZ85" s="1238"/>
      <c r="BA85" s="516"/>
      <c r="BB85" s="516"/>
      <c r="BC85" s="516"/>
      <c r="BD85" s="516"/>
      <c r="BE85" s="516"/>
      <c r="BF85" s="516"/>
      <c r="BG85" s="516"/>
      <c r="BH85" s="516"/>
      <c r="BI85" s="516"/>
      <c r="BJ85" s="516"/>
      <c r="BK85" s="516"/>
      <c r="BL85" s="516"/>
      <c r="BM85" s="516"/>
      <c r="BN85" s="1239"/>
      <c r="BO85" s="1174"/>
      <c r="BP85" s="1174"/>
      <c r="BQ85" s="1240"/>
      <c r="BR85" s="516"/>
    </row>
    <row r="86" spans="2:70" s="544" customFormat="1" ht="24.95" customHeight="1">
      <c r="B86" s="1499"/>
      <c r="C86" s="1392"/>
      <c r="D86" s="1314"/>
      <c r="E86" s="1393"/>
      <c r="F86" s="1417"/>
      <c r="G86" s="1418"/>
      <c r="H86" s="1419"/>
      <c r="I86" s="1401"/>
      <c r="J86" s="1402"/>
      <c r="K86" s="1402"/>
      <c r="L86" s="1402"/>
      <c r="M86" s="1402"/>
      <c r="N86" s="1402"/>
      <c r="O86" s="1402"/>
      <c r="P86" s="1402"/>
      <c r="Q86" s="1402"/>
      <c r="R86" s="1402"/>
      <c r="S86" s="1402"/>
      <c r="T86" s="1471"/>
      <c r="U86" s="1401"/>
      <c r="V86" s="1402"/>
      <c r="W86" s="1402"/>
      <c r="X86" s="1402"/>
      <c r="Y86" s="1402"/>
      <c r="Z86" s="1402"/>
      <c r="AA86" s="1402"/>
      <c r="AB86" s="1402"/>
      <c r="AC86" s="1402"/>
      <c r="AD86" s="1402"/>
      <c r="AE86" s="1402"/>
      <c r="AF86" s="1403"/>
      <c r="AG86" s="1516"/>
      <c r="AH86" s="1216"/>
      <c r="AI86" s="1390"/>
      <c r="AJ86" s="543"/>
      <c r="AK86" s="1260"/>
      <c r="AL86" s="1174"/>
      <c r="AM86" s="1175"/>
      <c r="AN86" s="1177"/>
      <c r="AO86" s="1180"/>
      <c r="AP86" s="1174"/>
      <c r="AQ86" s="1181"/>
      <c r="AR86" s="1242"/>
      <c r="AS86" s="1243"/>
      <c r="AT86" s="1246"/>
      <c r="AU86" s="516"/>
      <c r="AV86" s="1439"/>
      <c r="AW86" s="1236"/>
      <c r="AX86" s="1236"/>
      <c r="AY86" s="1236"/>
      <c r="AZ86" s="1238"/>
      <c r="BA86" s="516"/>
      <c r="BB86" s="516"/>
      <c r="BC86" s="516"/>
      <c r="BD86" s="516"/>
      <c r="BE86" s="516"/>
      <c r="BF86" s="516"/>
      <c r="BG86" s="516"/>
      <c r="BH86" s="516"/>
      <c r="BI86" s="516"/>
      <c r="BJ86" s="516"/>
      <c r="BK86" s="516"/>
      <c r="BL86" s="516"/>
      <c r="BM86" s="516"/>
      <c r="BN86" s="1239"/>
      <c r="BO86" s="1174"/>
      <c r="BP86" s="1174"/>
      <c r="BQ86" s="1240"/>
      <c r="BR86" s="516"/>
    </row>
    <row r="87" spans="2:70" s="544" customFormat="1" ht="22.5" customHeight="1">
      <c r="B87" s="1430">
        <f>MAX($B$16:B84)+1</f>
        <v>24</v>
      </c>
      <c r="C87" s="1392"/>
      <c r="D87" s="1314"/>
      <c r="E87" s="1393"/>
      <c r="F87" s="1512" t="s">
        <v>677</v>
      </c>
      <c r="G87" s="1513"/>
      <c r="H87" s="1514"/>
      <c r="I87" s="1300" t="s">
        <v>678</v>
      </c>
      <c r="J87" s="1301"/>
      <c r="K87" s="1301"/>
      <c r="L87" s="1301"/>
      <c r="M87" s="1301"/>
      <c r="N87" s="1301"/>
      <c r="O87" s="1301"/>
      <c r="P87" s="1301"/>
      <c r="Q87" s="1301"/>
      <c r="R87" s="1301"/>
      <c r="S87" s="1301"/>
      <c r="T87" s="1448"/>
      <c r="U87" s="1300" t="s">
        <v>679</v>
      </c>
      <c r="V87" s="1301"/>
      <c r="W87" s="1301"/>
      <c r="X87" s="1301"/>
      <c r="Y87" s="1301"/>
      <c r="Z87" s="1301"/>
      <c r="AA87" s="1301"/>
      <c r="AB87" s="1301"/>
      <c r="AC87" s="1301"/>
      <c r="AD87" s="1301"/>
      <c r="AE87" s="1301"/>
      <c r="AF87" s="1302"/>
      <c r="AG87" s="1494"/>
      <c r="AH87" s="1216"/>
      <c r="AI87" s="1306"/>
      <c r="AJ87" s="543"/>
      <c r="AK87" s="1405">
        <v>1</v>
      </c>
      <c r="AL87" s="1281">
        <v>2</v>
      </c>
      <c r="AM87" s="1281">
        <f>IF($AG87="該当無",0,1)</f>
        <v>1</v>
      </c>
      <c r="AN87" s="1283">
        <v>1</v>
      </c>
      <c r="AO87" s="1285"/>
      <c r="AP87" s="1281">
        <f>$AK87*$AM87*$AN87</f>
        <v>1</v>
      </c>
      <c r="AQ87" s="1350">
        <f t="shared" ref="AQ87" si="20">$AP87*28/$AS$11</f>
        <v>1</v>
      </c>
      <c r="AR87" s="1352"/>
      <c r="AS87" s="1354">
        <f>IF($AG87=-1,$AG87*$AO87,IF($AP87=0,0,$AG87/$AL87*$AQ87))</f>
        <v>0</v>
      </c>
      <c r="AT87" s="1356"/>
      <c r="AU87" s="516"/>
      <c r="AV87" s="1442">
        <v>2</v>
      </c>
      <c r="AW87" s="1307">
        <v>1</v>
      </c>
      <c r="AX87" s="1307">
        <v>0</v>
      </c>
      <c r="AY87" s="1307" t="s">
        <v>101</v>
      </c>
      <c r="AZ87" s="1309"/>
      <c r="BA87" s="516"/>
      <c r="BB87" s="516"/>
      <c r="BC87" s="516"/>
      <c r="BD87" s="516"/>
      <c r="BE87" s="516"/>
      <c r="BF87" s="516"/>
      <c r="BG87" s="516"/>
      <c r="BH87" s="516"/>
      <c r="BI87" s="516"/>
      <c r="BJ87" s="516"/>
      <c r="BK87" s="516"/>
      <c r="BL87" s="516"/>
      <c r="BM87" s="516"/>
      <c r="BN87" s="1239" t="str">
        <f>IF($AG87=0,"今年度","")</f>
        <v>今年度</v>
      </c>
      <c r="BO87" s="1174" t="str">
        <f>IF($AG87=0,"来年度","")</f>
        <v>来年度</v>
      </c>
      <c r="BP87" s="1174" t="str">
        <f>IF($AG87=0,"再来年度","")</f>
        <v>再来年度</v>
      </c>
      <c r="BQ87" s="1240" t="str">
        <f>IF($AG87=0,"未定","")</f>
        <v>未定</v>
      </c>
      <c r="BR87" s="516"/>
    </row>
    <row r="88" spans="2:70" s="544" customFormat="1" ht="22.5" customHeight="1">
      <c r="B88" s="1431"/>
      <c r="C88" s="1392"/>
      <c r="D88" s="1314"/>
      <c r="E88" s="1393"/>
      <c r="F88" s="1515"/>
      <c r="G88" s="1462"/>
      <c r="H88" s="1464"/>
      <c r="I88" s="1324"/>
      <c r="J88" s="1325"/>
      <c r="K88" s="1325"/>
      <c r="L88" s="1325"/>
      <c r="M88" s="1325"/>
      <c r="N88" s="1325"/>
      <c r="O88" s="1325"/>
      <c r="P88" s="1325"/>
      <c r="Q88" s="1325"/>
      <c r="R88" s="1325"/>
      <c r="S88" s="1325"/>
      <c r="T88" s="1479"/>
      <c r="U88" s="1324"/>
      <c r="V88" s="1325"/>
      <c r="W88" s="1325"/>
      <c r="X88" s="1325"/>
      <c r="Y88" s="1325"/>
      <c r="Z88" s="1325"/>
      <c r="AA88" s="1325"/>
      <c r="AB88" s="1325"/>
      <c r="AC88" s="1325"/>
      <c r="AD88" s="1325"/>
      <c r="AE88" s="1325"/>
      <c r="AF88" s="1326"/>
      <c r="AG88" s="1495"/>
      <c r="AH88" s="1216"/>
      <c r="AI88" s="1332"/>
      <c r="AJ88" s="543"/>
      <c r="AK88" s="1445"/>
      <c r="AL88" s="1282"/>
      <c r="AM88" s="1282"/>
      <c r="AN88" s="1284"/>
      <c r="AO88" s="1286"/>
      <c r="AP88" s="1282"/>
      <c r="AQ88" s="1351"/>
      <c r="AR88" s="1353"/>
      <c r="AS88" s="1355"/>
      <c r="AT88" s="1357"/>
      <c r="AU88" s="516"/>
      <c r="AV88" s="1443"/>
      <c r="AW88" s="1308"/>
      <c r="AX88" s="1308"/>
      <c r="AY88" s="1308"/>
      <c r="AZ88" s="1310"/>
      <c r="BA88" s="516"/>
      <c r="BB88" s="516"/>
      <c r="BC88" s="516"/>
      <c r="BD88" s="516"/>
      <c r="BE88" s="516"/>
      <c r="BF88" s="516"/>
      <c r="BG88" s="516"/>
      <c r="BH88" s="516"/>
      <c r="BI88" s="516"/>
      <c r="BJ88" s="516"/>
      <c r="BK88" s="516"/>
      <c r="BL88" s="516"/>
      <c r="BM88" s="516"/>
      <c r="BN88" s="1239"/>
      <c r="BO88" s="1174"/>
      <c r="BP88" s="1174"/>
      <c r="BQ88" s="1240"/>
      <c r="BR88" s="516"/>
    </row>
    <row r="89" spans="2:70" s="544" customFormat="1" ht="22.5" customHeight="1">
      <c r="B89" s="1432"/>
      <c r="C89" s="1392"/>
      <c r="D89" s="1314"/>
      <c r="E89" s="1393"/>
      <c r="F89" s="1530"/>
      <c r="G89" s="1465"/>
      <c r="H89" s="1466"/>
      <c r="I89" s="1346"/>
      <c r="J89" s="1347"/>
      <c r="K89" s="1347"/>
      <c r="L89" s="1347"/>
      <c r="M89" s="1347"/>
      <c r="N89" s="1347"/>
      <c r="O89" s="1347"/>
      <c r="P89" s="1347"/>
      <c r="Q89" s="1347"/>
      <c r="R89" s="1347"/>
      <c r="S89" s="1347"/>
      <c r="T89" s="1528"/>
      <c r="U89" s="1346"/>
      <c r="V89" s="1347"/>
      <c r="W89" s="1347"/>
      <c r="X89" s="1347"/>
      <c r="Y89" s="1347"/>
      <c r="Z89" s="1347"/>
      <c r="AA89" s="1347"/>
      <c r="AB89" s="1347"/>
      <c r="AC89" s="1347"/>
      <c r="AD89" s="1347"/>
      <c r="AE89" s="1347"/>
      <c r="AF89" s="1348"/>
      <c r="AG89" s="1527"/>
      <c r="AH89" s="1216"/>
      <c r="AI89" s="1217"/>
      <c r="AJ89" s="543"/>
      <c r="AK89" s="1446"/>
      <c r="AL89" s="1173"/>
      <c r="AM89" s="1173"/>
      <c r="AN89" s="1368"/>
      <c r="AO89" s="1369"/>
      <c r="AP89" s="1173"/>
      <c r="AQ89" s="1370"/>
      <c r="AR89" s="1361"/>
      <c r="AS89" s="1362"/>
      <c r="AT89" s="1364"/>
      <c r="AU89" s="516"/>
      <c r="AV89" s="1444"/>
      <c r="AW89" s="1366"/>
      <c r="AX89" s="1366"/>
      <c r="AY89" s="1366"/>
      <c r="AZ89" s="1367"/>
      <c r="BA89" s="516"/>
      <c r="BB89" s="516"/>
      <c r="BC89" s="516"/>
      <c r="BD89" s="516"/>
      <c r="BE89" s="516"/>
      <c r="BF89" s="516"/>
      <c r="BG89" s="516"/>
      <c r="BH89" s="516"/>
      <c r="BI89" s="516"/>
      <c r="BJ89" s="516"/>
      <c r="BK89" s="516"/>
      <c r="BL89" s="516"/>
      <c r="BM89" s="516"/>
      <c r="BN89" s="1239"/>
      <c r="BO89" s="1174"/>
      <c r="BP89" s="1174"/>
      <c r="BQ89" s="1240"/>
      <c r="BR89" s="516"/>
    </row>
    <row r="90" spans="2:70" s="544" customFormat="1" ht="48.75" customHeight="1">
      <c r="B90" s="1531">
        <f>MAX($B$16:B87)+1</f>
        <v>25</v>
      </c>
      <c r="C90" s="1392"/>
      <c r="D90" s="1314"/>
      <c r="E90" s="1393"/>
      <c r="F90" s="1533" t="s">
        <v>784</v>
      </c>
      <c r="G90" s="1534"/>
      <c r="H90" s="1535"/>
      <c r="I90" s="1539" t="s">
        <v>680</v>
      </c>
      <c r="J90" s="1540"/>
      <c r="K90" s="1540"/>
      <c r="L90" s="1540"/>
      <c r="M90" s="1540"/>
      <c r="N90" s="1540"/>
      <c r="O90" s="1540"/>
      <c r="P90" s="1540"/>
      <c r="Q90" s="1540"/>
      <c r="R90" s="1540"/>
      <c r="S90" s="1540"/>
      <c r="T90" s="1541"/>
      <c r="U90" s="1542" t="s">
        <v>681</v>
      </c>
      <c r="V90" s="1543"/>
      <c r="W90" s="1543"/>
      <c r="X90" s="1543"/>
      <c r="Y90" s="1543"/>
      <c r="Z90" s="1543"/>
      <c r="AA90" s="1543"/>
      <c r="AB90" s="1543"/>
      <c r="AC90" s="1543"/>
      <c r="AD90" s="1543"/>
      <c r="AE90" s="1543"/>
      <c r="AF90" s="1544"/>
      <c r="AG90" s="1411"/>
      <c r="AH90" s="1216"/>
      <c r="AI90" s="1375"/>
      <c r="AJ90" s="543"/>
      <c r="AK90" s="1452">
        <v>2</v>
      </c>
      <c r="AL90" s="1377">
        <v>1</v>
      </c>
      <c r="AM90" s="1377">
        <f>IF($AG90="該当無",0,1)</f>
        <v>1</v>
      </c>
      <c r="AN90" s="1378">
        <v>1</v>
      </c>
      <c r="AO90" s="1379"/>
      <c r="AP90" s="1377">
        <f>$AK90*$AM90*$AN90</f>
        <v>2</v>
      </c>
      <c r="AQ90" s="1380">
        <f t="shared" ref="AQ90" si="21">$AP90*28/$AS$11</f>
        <v>2</v>
      </c>
      <c r="AR90" s="1371"/>
      <c r="AS90" s="1372">
        <f>IF(AI90="",0,IF($AG90=-1,$AG90*$AO90,IF($AP90=0,0,$AG90/$AL90*$AQ90)))</f>
        <v>0</v>
      </c>
      <c r="AT90" s="1373"/>
      <c r="AU90" s="516"/>
      <c r="AV90" s="1447">
        <v>1</v>
      </c>
      <c r="AW90" s="1415">
        <v>0</v>
      </c>
      <c r="AX90" s="1415"/>
      <c r="AY90" s="1415"/>
      <c r="AZ90" s="1389"/>
      <c r="BA90" s="516"/>
      <c r="BC90" s="544" t="s">
        <v>91</v>
      </c>
      <c r="BD90" s="544" t="s">
        <v>649</v>
      </c>
      <c r="BE90" s="544" t="s">
        <v>48</v>
      </c>
      <c r="BF90" s="544" t="s">
        <v>49</v>
      </c>
      <c r="BG90" s="544" t="s">
        <v>92</v>
      </c>
      <c r="BH90" s="544" t="s">
        <v>50</v>
      </c>
      <c r="BI90" s="544" t="s">
        <v>93</v>
      </c>
      <c r="BJ90" s="544" t="s">
        <v>94</v>
      </c>
      <c r="BK90" s="544" t="s">
        <v>95</v>
      </c>
      <c r="BL90" s="544" t="s">
        <v>51</v>
      </c>
      <c r="BN90" s="1239" t="str">
        <f>IF($AG90=0,"今年度","")</f>
        <v>今年度</v>
      </c>
      <c r="BO90" s="1174" t="str">
        <f>IF($AG90=0,"来年度","")</f>
        <v>来年度</v>
      </c>
      <c r="BP90" s="1174" t="str">
        <f>IF($AG90=0,"再来年度","")</f>
        <v>再来年度</v>
      </c>
      <c r="BQ90" s="1240" t="str">
        <f>IF($AG90=0,"未定","")</f>
        <v>未定</v>
      </c>
    </row>
    <row r="91" spans="2:70" s="544" customFormat="1" ht="48.75" customHeight="1">
      <c r="B91" s="1431"/>
      <c r="C91" s="1392"/>
      <c r="D91" s="1314"/>
      <c r="E91" s="1393"/>
      <c r="F91" s="1506"/>
      <c r="G91" s="1507"/>
      <c r="H91" s="1508"/>
      <c r="I91" s="1340"/>
      <c r="J91" s="1341"/>
      <c r="K91" s="1341"/>
      <c r="L91" s="1341"/>
      <c r="M91" s="1341"/>
      <c r="N91" s="1341"/>
      <c r="O91" s="1341"/>
      <c r="P91" s="1341"/>
      <c r="Q91" s="1341"/>
      <c r="R91" s="1341"/>
      <c r="S91" s="1341"/>
      <c r="T91" s="1342"/>
      <c r="U91" s="1324"/>
      <c r="V91" s="1325"/>
      <c r="W91" s="1325"/>
      <c r="X91" s="1325"/>
      <c r="Y91" s="1325"/>
      <c r="Z91" s="1325"/>
      <c r="AA91" s="1325"/>
      <c r="AB91" s="1325"/>
      <c r="AC91" s="1325"/>
      <c r="AD91" s="1325"/>
      <c r="AE91" s="1325"/>
      <c r="AF91" s="1326"/>
      <c r="AG91" s="1495"/>
      <c r="AH91" s="1216"/>
      <c r="AI91" s="1332"/>
      <c r="AJ91" s="543"/>
      <c r="AK91" s="1445"/>
      <c r="AL91" s="1282"/>
      <c r="AM91" s="1282"/>
      <c r="AN91" s="1284"/>
      <c r="AO91" s="1286"/>
      <c r="AP91" s="1282"/>
      <c r="AQ91" s="1351"/>
      <c r="AR91" s="1353"/>
      <c r="AS91" s="1355"/>
      <c r="AT91" s="1357"/>
      <c r="AU91" s="516"/>
      <c r="AV91" s="1443"/>
      <c r="AW91" s="1308"/>
      <c r="AX91" s="1308"/>
      <c r="AY91" s="1308"/>
      <c r="AZ91" s="1310"/>
      <c r="BA91" s="516"/>
      <c r="BB91" s="515" t="s">
        <v>682</v>
      </c>
      <c r="BC91" s="544">
        <v>11</v>
      </c>
      <c r="BD91" s="544">
        <f>COUNTIF($AG$66:$AG$92,"該当無")</f>
        <v>0</v>
      </c>
      <c r="BE91" s="544">
        <f>BC91-BD91</f>
        <v>11</v>
      </c>
      <c r="BF91" s="544">
        <f>COUNTIF($AG$66:$AG$99,"&gt;0")</f>
        <v>0</v>
      </c>
      <c r="BG91" s="544">
        <f>COUNTIF($AG$66:$AG$99,"0")</f>
        <v>0</v>
      </c>
      <c r="BH91" s="544">
        <f>BG91-BL91</f>
        <v>0</v>
      </c>
      <c r="BI91" s="544">
        <f>COUNTIF($AH$66:$AH$99,BI90)</f>
        <v>0</v>
      </c>
      <c r="BJ91" s="544">
        <f>COUNTIF($AH$66:$AH$99,BJ90)</f>
        <v>0</v>
      </c>
      <c r="BK91" s="544">
        <f>COUNTIF($AH$66:$AH$99,BK90)</f>
        <v>0</v>
      </c>
      <c r="BL91" s="544">
        <f>COUNTIF($AH$66:$AH$99,BL90)</f>
        <v>0</v>
      </c>
      <c r="BN91" s="1239"/>
      <c r="BO91" s="1174"/>
      <c r="BP91" s="1174"/>
      <c r="BQ91" s="1240"/>
    </row>
    <row r="92" spans="2:70" s="544" customFormat="1" ht="36" customHeight="1">
      <c r="B92" s="1532"/>
      <c r="C92" s="1392"/>
      <c r="D92" s="1314"/>
      <c r="E92" s="1393"/>
      <c r="F92" s="1536"/>
      <c r="G92" s="1537"/>
      <c r="H92" s="1538"/>
      <c r="I92" s="1343"/>
      <c r="J92" s="1344"/>
      <c r="K92" s="1344"/>
      <c r="L92" s="1344"/>
      <c r="M92" s="1344"/>
      <c r="N92" s="1344"/>
      <c r="O92" s="1344"/>
      <c r="P92" s="1344"/>
      <c r="Q92" s="1344"/>
      <c r="R92" s="1344"/>
      <c r="S92" s="1344"/>
      <c r="T92" s="1345"/>
      <c r="U92" s="1327"/>
      <c r="V92" s="1328"/>
      <c r="W92" s="1328"/>
      <c r="X92" s="1328"/>
      <c r="Y92" s="1328"/>
      <c r="Z92" s="1328"/>
      <c r="AA92" s="1328"/>
      <c r="AB92" s="1328"/>
      <c r="AC92" s="1328"/>
      <c r="AD92" s="1328"/>
      <c r="AE92" s="1328"/>
      <c r="AF92" s="1329"/>
      <c r="AG92" s="1496"/>
      <c r="AH92" s="1481"/>
      <c r="AI92" s="1454"/>
      <c r="AJ92" s="543"/>
      <c r="AK92" s="1445"/>
      <c r="AL92" s="1282"/>
      <c r="AM92" s="1282"/>
      <c r="AN92" s="1284"/>
      <c r="AO92" s="1286"/>
      <c r="AP92" s="1282"/>
      <c r="AQ92" s="1351"/>
      <c r="AR92" s="1353"/>
      <c r="AS92" s="1355"/>
      <c r="AT92" s="1357"/>
      <c r="AU92" s="516"/>
      <c r="AV92" s="1443"/>
      <c r="AW92" s="1308"/>
      <c r="AX92" s="1308"/>
      <c r="AY92" s="1308"/>
      <c r="AZ92" s="1310"/>
      <c r="BA92" s="516"/>
      <c r="BB92" s="515"/>
      <c r="BM92" s="516"/>
      <c r="BN92" s="1239"/>
      <c r="BO92" s="1174"/>
      <c r="BP92" s="1174"/>
      <c r="BQ92" s="1240"/>
      <c r="BR92" s="516"/>
    </row>
    <row r="93" spans="2:70" s="544" customFormat="1" ht="20.25" customHeight="1">
      <c r="B93" s="561" t="s">
        <v>683</v>
      </c>
      <c r="C93" s="562"/>
      <c r="D93" s="562"/>
      <c r="E93" s="562"/>
      <c r="F93" s="562"/>
      <c r="G93" s="562"/>
      <c r="H93" s="562"/>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50"/>
      <c r="AH93" s="550"/>
      <c r="AI93" s="551"/>
      <c r="AJ93" s="543"/>
      <c r="AK93" s="564"/>
      <c r="AL93" s="565"/>
      <c r="AM93" s="565"/>
      <c r="AN93" s="566"/>
      <c r="AO93" s="565"/>
      <c r="AP93" s="565"/>
      <c r="AQ93" s="567"/>
      <c r="AR93" s="568"/>
      <c r="AS93" s="569"/>
      <c r="AT93" s="570"/>
      <c r="AU93" s="571"/>
      <c r="AV93" s="572"/>
      <c r="AW93" s="573"/>
      <c r="AX93" s="573"/>
      <c r="AY93" s="573"/>
      <c r="AZ93" s="574"/>
      <c r="BN93" s="575"/>
      <c r="BO93" s="545"/>
      <c r="BP93" s="545"/>
      <c r="BQ93" s="576"/>
    </row>
    <row r="94" spans="2:70" s="544" customFormat="1" ht="27" customHeight="1">
      <c r="B94" s="1430">
        <f>MAX($B$16:B92)+1</f>
        <v>26</v>
      </c>
      <c r="C94" s="1461" t="s">
        <v>359</v>
      </c>
      <c r="D94" s="1462"/>
      <c r="E94" s="1463"/>
      <c r="F94" s="1548" t="s">
        <v>496</v>
      </c>
      <c r="G94" s="1548"/>
      <c r="H94" s="1549"/>
      <c r="I94" s="1272" t="s">
        <v>512</v>
      </c>
      <c r="J94" s="1273"/>
      <c r="K94" s="1273"/>
      <c r="L94" s="1273"/>
      <c r="M94" s="1273"/>
      <c r="N94" s="1273"/>
      <c r="O94" s="1273"/>
      <c r="P94" s="1273"/>
      <c r="Q94" s="1273"/>
      <c r="R94" s="1273"/>
      <c r="S94" s="1273"/>
      <c r="T94" s="1293"/>
      <c r="U94" s="1491" t="s">
        <v>612</v>
      </c>
      <c r="V94" s="1492"/>
      <c r="W94" s="1492"/>
      <c r="X94" s="1492"/>
      <c r="Y94" s="1492"/>
      <c r="Z94" s="1492"/>
      <c r="AA94" s="1492"/>
      <c r="AB94" s="1492"/>
      <c r="AC94" s="1492"/>
      <c r="AD94" s="1492"/>
      <c r="AE94" s="1492"/>
      <c r="AF94" s="1493"/>
      <c r="AG94" s="1494"/>
      <c r="AH94" s="1216"/>
      <c r="AI94" s="1306"/>
      <c r="AJ94" s="543"/>
      <c r="AK94" s="1405">
        <v>3</v>
      </c>
      <c r="AL94" s="1281">
        <v>1</v>
      </c>
      <c r="AM94" s="1281">
        <f>IF($AG94="該当無",0,1)</f>
        <v>1</v>
      </c>
      <c r="AN94" s="1283">
        <v>1</v>
      </c>
      <c r="AO94" s="1285"/>
      <c r="AP94" s="1281">
        <f>$AK94*$AM94*$AN94</f>
        <v>3</v>
      </c>
      <c r="AQ94" s="1350">
        <f t="shared" ref="AQ94" si="22">$AP94*28/$AS$11</f>
        <v>3</v>
      </c>
      <c r="AR94" s="1352"/>
      <c r="AS94" s="1550">
        <f t="shared" ref="AS94" si="23">IF($AG94=-1,$AG94*$AO94,IF($AP94=0,0,$AG94/$AL94*$AQ94))</f>
        <v>0</v>
      </c>
      <c r="AT94" s="1553">
        <f>SUM(AS94:AS99)</f>
        <v>0</v>
      </c>
      <c r="AU94" s="516"/>
      <c r="AV94" s="1442">
        <v>1</v>
      </c>
      <c r="AW94" s="1307" t="s">
        <v>101</v>
      </c>
      <c r="AX94" s="1307"/>
      <c r="AY94" s="1307"/>
      <c r="AZ94" s="1309"/>
      <c r="BA94" s="516"/>
      <c r="BN94" s="1239" t="str">
        <f>IF($AG94=0,"今年度","")</f>
        <v>今年度</v>
      </c>
      <c r="BO94" s="1174" t="str">
        <f>IF($AG94=0,"来年度","")</f>
        <v>来年度</v>
      </c>
      <c r="BP94" s="1174" t="str">
        <f>IF($AG94=0,"再来年度","")</f>
        <v>再来年度</v>
      </c>
      <c r="BQ94" s="1240" t="str">
        <f>IF($AG94=0,"未定","")</f>
        <v>未定</v>
      </c>
    </row>
    <row r="95" spans="2:70" s="544" customFormat="1" ht="27" customHeight="1">
      <c r="B95" s="1431"/>
      <c r="C95" s="1461"/>
      <c r="D95" s="1462"/>
      <c r="E95" s="1463"/>
      <c r="F95" s="1548"/>
      <c r="G95" s="1548"/>
      <c r="H95" s="1549"/>
      <c r="I95" s="1272"/>
      <c r="J95" s="1273"/>
      <c r="K95" s="1273"/>
      <c r="L95" s="1273"/>
      <c r="M95" s="1273"/>
      <c r="N95" s="1273"/>
      <c r="O95" s="1273"/>
      <c r="P95" s="1273"/>
      <c r="Q95" s="1273"/>
      <c r="R95" s="1273"/>
      <c r="S95" s="1273"/>
      <c r="T95" s="1293"/>
      <c r="U95" s="1398"/>
      <c r="V95" s="1399"/>
      <c r="W95" s="1399"/>
      <c r="X95" s="1399"/>
      <c r="Y95" s="1399"/>
      <c r="Z95" s="1399"/>
      <c r="AA95" s="1399"/>
      <c r="AB95" s="1399"/>
      <c r="AC95" s="1399"/>
      <c r="AD95" s="1399"/>
      <c r="AE95" s="1399"/>
      <c r="AF95" s="1400"/>
      <c r="AG95" s="1495"/>
      <c r="AH95" s="1216"/>
      <c r="AI95" s="1332"/>
      <c r="AJ95" s="543"/>
      <c r="AK95" s="1445"/>
      <c r="AL95" s="1282"/>
      <c r="AM95" s="1282"/>
      <c r="AN95" s="1284"/>
      <c r="AO95" s="1286"/>
      <c r="AP95" s="1282"/>
      <c r="AQ95" s="1351"/>
      <c r="AR95" s="1353"/>
      <c r="AS95" s="1551"/>
      <c r="AT95" s="1554"/>
      <c r="AU95" s="516"/>
      <c r="AV95" s="1443"/>
      <c r="AW95" s="1308"/>
      <c r="AX95" s="1308"/>
      <c r="AY95" s="1308"/>
      <c r="AZ95" s="1310"/>
      <c r="BA95" s="516"/>
      <c r="BB95" s="515"/>
      <c r="BN95" s="1239"/>
      <c r="BO95" s="1174"/>
      <c r="BP95" s="1174"/>
      <c r="BQ95" s="1240"/>
    </row>
    <row r="96" spans="2:70" s="544" customFormat="1" ht="27" customHeight="1">
      <c r="B96" s="1432"/>
      <c r="C96" s="1461"/>
      <c r="D96" s="1462"/>
      <c r="E96" s="1463"/>
      <c r="F96" s="1548"/>
      <c r="G96" s="1548"/>
      <c r="H96" s="1549"/>
      <c r="I96" s="1272"/>
      <c r="J96" s="1273"/>
      <c r="K96" s="1273"/>
      <c r="L96" s="1273"/>
      <c r="M96" s="1273"/>
      <c r="N96" s="1273"/>
      <c r="O96" s="1273"/>
      <c r="P96" s="1273"/>
      <c r="Q96" s="1273"/>
      <c r="R96" s="1273"/>
      <c r="S96" s="1273"/>
      <c r="T96" s="1293"/>
      <c r="U96" s="1401"/>
      <c r="V96" s="1402"/>
      <c r="W96" s="1402"/>
      <c r="X96" s="1402"/>
      <c r="Y96" s="1402"/>
      <c r="Z96" s="1402"/>
      <c r="AA96" s="1402"/>
      <c r="AB96" s="1402"/>
      <c r="AC96" s="1402"/>
      <c r="AD96" s="1402"/>
      <c r="AE96" s="1402"/>
      <c r="AF96" s="1403"/>
      <c r="AG96" s="1527"/>
      <c r="AH96" s="1216"/>
      <c r="AI96" s="1217"/>
      <c r="AJ96" s="543"/>
      <c r="AK96" s="1446"/>
      <c r="AL96" s="1173"/>
      <c r="AM96" s="1173"/>
      <c r="AN96" s="1368"/>
      <c r="AO96" s="1369"/>
      <c r="AP96" s="1173"/>
      <c r="AQ96" s="1370"/>
      <c r="AR96" s="1361"/>
      <c r="AS96" s="1552"/>
      <c r="AT96" s="1555"/>
      <c r="AU96" s="516"/>
      <c r="AV96" s="1444"/>
      <c r="AW96" s="1366"/>
      <c r="AX96" s="1366"/>
      <c r="AY96" s="1366"/>
      <c r="AZ96" s="1367"/>
      <c r="BA96" s="516"/>
      <c r="BB96" s="515"/>
      <c r="BM96" s="516"/>
      <c r="BN96" s="1239"/>
      <c r="BO96" s="1174"/>
      <c r="BP96" s="1174"/>
      <c r="BQ96" s="1240"/>
      <c r="BR96" s="516"/>
    </row>
    <row r="97" spans="2:70" s="544" customFormat="1" ht="27" customHeight="1">
      <c r="B97" s="1531">
        <f>MAX($B$16:B94)+1</f>
        <v>27</v>
      </c>
      <c r="C97" s="1461"/>
      <c r="D97" s="1462"/>
      <c r="E97" s="1463"/>
      <c r="F97" s="1556" t="s">
        <v>497</v>
      </c>
      <c r="G97" s="1556"/>
      <c r="H97" s="1557"/>
      <c r="I97" s="1558" t="s">
        <v>513</v>
      </c>
      <c r="J97" s="1559"/>
      <c r="K97" s="1559"/>
      <c r="L97" s="1559"/>
      <c r="M97" s="1559"/>
      <c r="N97" s="1559"/>
      <c r="O97" s="1559"/>
      <c r="P97" s="1559"/>
      <c r="Q97" s="1559"/>
      <c r="R97" s="1559"/>
      <c r="S97" s="1559"/>
      <c r="T97" s="1470"/>
      <c r="U97" s="1398" t="s">
        <v>629</v>
      </c>
      <c r="V97" s="1399"/>
      <c r="W97" s="1399"/>
      <c r="X97" s="1399"/>
      <c r="Y97" s="1399"/>
      <c r="Z97" s="1399"/>
      <c r="AA97" s="1399"/>
      <c r="AB97" s="1399"/>
      <c r="AC97" s="1399"/>
      <c r="AD97" s="1399"/>
      <c r="AE97" s="1399"/>
      <c r="AF97" s="1400"/>
      <c r="AG97" s="1411"/>
      <c r="AH97" s="1560"/>
      <c r="AI97" s="1375"/>
      <c r="AJ97" s="543"/>
      <c r="AK97" s="1452">
        <v>1</v>
      </c>
      <c r="AL97" s="1377">
        <v>2</v>
      </c>
      <c r="AM97" s="1377">
        <f>IF($AG97="該当無",0,1)</f>
        <v>1</v>
      </c>
      <c r="AN97" s="1378">
        <v>1</v>
      </c>
      <c r="AO97" s="1379"/>
      <c r="AP97" s="1377">
        <f>$AK97*$AM97*$AN97</f>
        <v>1</v>
      </c>
      <c r="AQ97" s="1380">
        <f t="shared" ref="AQ97" si="24">$AP97*28/$AS$11</f>
        <v>1</v>
      </c>
      <c r="AR97" s="1371"/>
      <c r="AS97" s="1561">
        <f t="shared" ref="AS97" si="25">IF($AG97=-1,$AG97*$AO97,IF($AP97=0,0,$AG97/$AL97*$AQ97))</f>
        <v>0</v>
      </c>
      <c r="AT97" s="1373"/>
      <c r="AU97" s="516"/>
      <c r="AV97" s="1447">
        <v>2</v>
      </c>
      <c r="AW97" s="1415">
        <v>1</v>
      </c>
      <c r="AX97" s="1415">
        <v>0</v>
      </c>
      <c r="AY97" s="1415" t="s">
        <v>52</v>
      </c>
      <c r="AZ97" s="1389"/>
      <c r="BA97" s="516"/>
      <c r="BN97" s="1239" t="str">
        <f>IF($AG97=0,"今年度","")</f>
        <v>今年度</v>
      </c>
      <c r="BO97" s="1174" t="str">
        <f>IF($AG97=0,"来年度","")</f>
        <v>来年度</v>
      </c>
      <c r="BP97" s="1174" t="str">
        <f>IF($AG97=0,"再来年度","")</f>
        <v>再来年度</v>
      </c>
      <c r="BQ97" s="1240" t="str">
        <f>IF($AG97=0,"未定","")</f>
        <v>未定</v>
      </c>
    </row>
    <row r="98" spans="2:70" s="544" customFormat="1" ht="27" customHeight="1">
      <c r="B98" s="1431"/>
      <c r="C98" s="1461"/>
      <c r="D98" s="1462"/>
      <c r="E98" s="1463"/>
      <c r="F98" s="1548"/>
      <c r="G98" s="1548"/>
      <c r="H98" s="1549"/>
      <c r="I98" s="1272"/>
      <c r="J98" s="1273"/>
      <c r="K98" s="1273"/>
      <c r="L98" s="1273"/>
      <c r="M98" s="1273"/>
      <c r="N98" s="1273"/>
      <c r="O98" s="1273"/>
      <c r="P98" s="1273"/>
      <c r="Q98" s="1273"/>
      <c r="R98" s="1273"/>
      <c r="S98" s="1273"/>
      <c r="T98" s="1293"/>
      <c r="U98" s="1398"/>
      <c r="V98" s="1399"/>
      <c r="W98" s="1399"/>
      <c r="X98" s="1399"/>
      <c r="Y98" s="1399"/>
      <c r="Z98" s="1399"/>
      <c r="AA98" s="1399"/>
      <c r="AB98" s="1399"/>
      <c r="AC98" s="1399"/>
      <c r="AD98" s="1399"/>
      <c r="AE98" s="1399"/>
      <c r="AF98" s="1400"/>
      <c r="AG98" s="1495"/>
      <c r="AH98" s="1216"/>
      <c r="AI98" s="1332"/>
      <c r="AJ98" s="543"/>
      <c r="AK98" s="1445"/>
      <c r="AL98" s="1282"/>
      <c r="AM98" s="1282"/>
      <c r="AN98" s="1284"/>
      <c r="AO98" s="1286"/>
      <c r="AP98" s="1282"/>
      <c r="AQ98" s="1351"/>
      <c r="AR98" s="1353"/>
      <c r="AS98" s="1551"/>
      <c r="AT98" s="1357"/>
      <c r="AU98" s="516"/>
      <c r="AV98" s="1443"/>
      <c r="AW98" s="1308"/>
      <c r="AX98" s="1308"/>
      <c r="AY98" s="1308"/>
      <c r="AZ98" s="1310"/>
      <c r="BA98" s="516"/>
      <c r="BB98" s="515"/>
      <c r="BN98" s="1239"/>
      <c r="BO98" s="1174"/>
      <c r="BP98" s="1174"/>
      <c r="BQ98" s="1240"/>
    </row>
    <row r="99" spans="2:70" s="544" customFormat="1" ht="27" customHeight="1">
      <c r="B99" s="1431"/>
      <c r="C99" s="1545"/>
      <c r="D99" s="1546"/>
      <c r="E99" s="1547"/>
      <c r="F99" s="1548"/>
      <c r="G99" s="1548"/>
      <c r="H99" s="1549"/>
      <c r="I99" s="1272"/>
      <c r="J99" s="1273"/>
      <c r="K99" s="1273"/>
      <c r="L99" s="1273"/>
      <c r="M99" s="1273"/>
      <c r="N99" s="1273"/>
      <c r="O99" s="1273"/>
      <c r="P99" s="1273"/>
      <c r="Q99" s="1273"/>
      <c r="R99" s="1273"/>
      <c r="S99" s="1273"/>
      <c r="T99" s="1293"/>
      <c r="U99" s="1401"/>
      <c r="V99" s="1402"/>
      <c r="W99" s="1402"/>
      <c r="X99" s="1402"/>
      <c r="Y99" s="1402"/>
      <c r="Z99" s="1402"/>
      <c r="AA99" s="1402"/>
      <c r="AB99" s="1402"/>
      <c r="AC99" s="1402"/>
      <c r="AD99" s="1402"/>
      <c r="AE99" s="1402"/>
      <c r="AF99" s="1403"/>
      <c r="AG99" s="1495"/>
      <c r="AH99" s="1305"/>
      <c r="AI99" s="1332"/>
      <c r="AJ99" s="543"/>
      <c r="AK99" s="1445"/>
      <c r="AL99" s="1282"/>
      <c r="AM99" s="1282"/>
      <c r="AN99" s="1284"/>
      <c r="AO99" s="1286"/>
      <c r="AP99" s="1282"/>
      <c r="AQ99" s="1351"/>
      <c r="AR99" s="1353"/>
      <c r="AS99" s="1551"/>
      <c r="AT99" s="1357"/>
      <c r="AU99" s="516"/>
      <c r="AV99" s="1443"/>
      <c r="AW99" s="1308"/>
      <c r="AX99" s="1308"/>
      <c r="AY99" s="1308"/>
      <c r="AZ99" s="1310"/>
      <c r="BA99" s="516"/>
      <c r="BB99" s="515"/>
      <c r="BM99" s="516"/>
      <c r="BN99" s="1239"/>
      <c r="BO99" s="1174"/>
      <c r="BP99" s="1174"/>
      <c r="BQ99" s="1240"/>
      <c r="BR99" s="516"/>
    </row>
    <row r="100" spans="2:70" ht="25.5" customHeight="1">
      <c r="B100" s="561" t="s">
        <v>684</v>
      </c>
      <c r="C100" s="577"/>
      <c r="D100" s="577"/>
      <c r="E100" s="577"/>
      <c r="F100" s="562"/>
      <c r="G100" s="562"/>
      <c r="H100" s="562"/>
      <c r="I100" s="578"/>
      <c r="J100" s="578"/>
      <c r="K100" s="578"/>
      <c r="L100" s="578"/>
      <c r="M100" s="578"/>
      <c r="N100" s="578"/>
      <c r="O100" s="578"/>
      <c r="P100" s="578"/>
      <c r="Q100" s="578"/>
      <c r="R100" s="578"/>
      <c r="S100" s="578"/>
      <c r="T100" s="578"/>
      <c r="U100" s="578"/>
      <c r="V100" s="578"/>
      <c r="W100" s="578"/>
      <c r="X100" s="578"/>
      <c r="Y100" s="578"/>
      <c r="Z100" s="578"/>
      <c r="AA100" s="578"/>
      <c r="AB100" s="578"/>
      <c r="AC100" s="578"/>
      <c r="AD100" s="578"/>
      <c r="AE100" s="578"/>
      <c r="AF100" s="579"/>
      <c r="AG100" s="24"/>
      <c r="AH100" s="580"/>
      <c r="AI100" s="581"/>
      <c r="AJ100" s="527"/>
      <c r="AK100" s="552"/>
      <c r="AL100" s="553"/>
      <c r="AM100" s="553"/>
      <c r="AN100" s="553"/>
      <c r="AO100" s="554"/>
      <c r="AP100" s="554"/>
      <c r="AQ100" s="553"/>
      <c r="AR100" s="555">
        <f>SUM(AR101:AR109)</f>
        <v>6</v>
      </c>
      <c r="AS100" s="554"/>
      <c r="AT100" s="556">
        <f>SUM(AT101:AT109)</f>
        <v>0</v>
      </c>
      <c r="AU100" s="516"/>
      <c r="AV100" s="557"/>
      <c r="AW100" s="558"/>
      <c r="AX100" s="558"/>
      <c r="AY100" s="558"/>
      <c r="AZ100" s="559"/>
      <c r="BA100" s="516"/>
      <c r="BB100" s="516"/>
      <c r="BC100" s="516"/>
      <c r="BD100" s="516"/>
      <c r="BE100" s="516"/>
      <c r="BF100" s="516"/>
      <c r="BG100" s="516"/>
      <c r="BH100" s="516"/>
      <c r="BI100" s="516"/>
      <c r="BJ100" s="516"/>
      <c r="BK100" s="516"/>
      <c r="BL100" s="516"/>
      <c r="BM100" s="516"/>
      <c r="BN100" s="540"/>
      <c r="BO100" s="541"/>
      <c r="BP100" s="541"/>
      <c r="BQ100" s="542"/>
      <c r="BR100" s="516"/>
    </row>
    <row r="101" spans="2:70" s="544" customFormat="1" ht="21" customHeight="1">
      <c r="B101" s="1456">
        <f>MAX($B$16:B98)+1</f>
        <v>28</v>
      </c>
      <c r="C101" s="1459" t="s">
        <v>701</v>
      </c>
      <c r="D101" s="1562"/>
      <c r="E101" s="1563"/>
      <c r="F101" s="1192" t="s">
        <v>685</v>
      </c>
      <c r="G101" s="1192"/>
      <c r="H101" s="1317"/>
      <c r="I101" s="1345" t="s">
        <v>686</v>
      </c>
      <c r="J101" s="1328"/>
      <c r="K101" s="1328"/>
      <c r="L101" s="1328"/>
      <c r="M101" s="1328"/>
      <c r="N101" s="1328"/>
      <c r="O101" s="1328"/>
      <c r="P101" s="1328"/>
      <c r="Q101" s="1328"/>
      <c r="R101" s="1328"/>
      <c r="S101" s="1328"/>
      <c r="T101" s="1328"/>
      <c r="U101" s="1571" t="s">
        <v>687</v>
      </c>
      <c r="V101" s="1572"/>
      <c r="W101" s="1572"/>
      <c r="X101" s="1572"/>
      <c r="Y101" s="1572"/>
      <c r="Z101" s="1572"/>
      <c r="AA101" s="1572"/>
      <c r="AB101" s="1572"/>
      <c r="AC101" s="1572"/>
      <c r="AD101" s="1572"/>
      <c r="AE101" s="1572"/>
      <c r="AF101" s="1573"/>
      <c r="AG101" s="1480"/>
      <c r="AH101" s="1215"/>
      <c r="AI101" s="1454"/>
      <c r="AJ101" s="543"/>
      <c r="AK101" s="1220">
        <v>2</v>
      </c>
      <c r="AL101" s="1174">
        <v>2</v>
      </c>
      <c r="AM101" s="1175">
        <f>IF($AG101="該当無",0,IF($AG$100="×",0,1))</f>
        <v>1</v>
      </c>
      <c r="AN101" s="1177">
        <v>1</v>
      </c>
      <c r="AO101" s="1249"/>
      <c r="AP101" s="1174">
        <f>$AK101*$AM101*$AN101</f>
        <v>2</v>
      </c>
      <c r="AQ101" s="1279">
        <f>$AP101*28/$AS$11</f>
        <v>2</v>
      </c>
      <c r="AR101" s="1265">
        <f>SUM(AQ101:AQ109)</f>
        <v>6</v>
      </c>
      <c r="AS101" s="1266">
        <f>IF($AG101=-1,$AG101*$AO101,IF($AP101=0,0,$AG101/$AL101*$AQ101))</f>
        <v>0</v>
      </c>
      <c r="AT101" s="1268">
        <f>SUM(AS101:AS109)</f>
        <v>0</v>
      </c>
      <c r="AU101" s="516"/>
      <c r="AV101" s="1590">
        <f>IF($AG$100="×","該当無",2)</f>
        <v>2</v>
      </c>
      <c r="AW101" s="1435">
        <f>IF($AG$100="×","該当無",1)</f>
        <v>1</v>
      </c>
      <c r="AX101" s="1435">
        <f>IF($AG$100="×","該当無",0)</f>
        <v>0</v>
      </c>
      <c r="AY101" s="1261" t="s">
        <v>101</v>
      </c>
      <c r="AZ101" s="1263"/>
      <c r="BA101" s="516"/>
      <c r="BC101" s="544" t="s">
        <v>91</v>
      </c>
      <c r="BD101" s="544" t="s">
        <v>649</v>
      </c>
      <c r="BE101" s="544" t="s">
        <v>48</v>
      </c>
      <c r="BF101" s="544" t="s">
        <v>49</v>
      </c>
      <c r="BG101" s="544" t="s">
        <v>92</v>
      </c>
      <c r="BH101" s="544" t="s">
        <v>50</v>
      </c>
      <c r="BI101" s="544" t="s">
        <v>93</v>
      </c>
      <c r="BJ101" s="544" t="s">
        <v>94</v>
      </c>
      <c r="BK101" s="544" t="s">
        <v>95</v>
      </c>
      <c r="BL101" s="544" t="s">
        <v>51</v>
      </c>
      <c r="BM101" s="516"/>
      <c r="BN101" s="1239" t="str">
        <f>IF($AG101=0,"今年度","")</f>
        <v>今年度</v>
      </c>
      <c r="BO101" s="1174" t="str">
        <f>IF($AG101=0,"来年度","")</f>
        <v>来年度</v>
      </c>
      <c r="BP101" s="1174" t="str">
        <f>IF($AG101=0,"再来年度","")</f>
        <v>再来年度</v>
      </c>
      <c r="BQ101" s="1240" t="str">
        <f>IF($AG101=0,"未定","")</f>
        <v>未定</v>
      </c>
      <c r="BR101" s="516"/>
    </row>
    <row r="102" spans="2:70" s="544" customFormat="1" ht="21" customHeight="1">
      <c r="B102" s="1457"/>
      <c r="C102" s="1457"/>
      <c r="D102" s="1564"/>
      <c r="E102" s="1565"/>
      <c r="F102" s="1195"/>
      <c r="G102" s="1195"/>
      <c r="H102" s="1395"/>
      <c r="I102" s="1468"/>
      <c r="J102" s="1399"/>
      <c r="K102" s="1399"/>
      <c r="L102" s="1399"/>
      <c r="M102" s="1399"/>
      <c r="N102" s="1399"/>
      <c r="O102" s="1399"/>
      <c r="P102" s="1399"/>
      <c r="Q102" s="1399"/>
      <c r="R102" s="1399"/>
      <c r="S102" s="1399"/>
      <c r="T102" s="1399"/>
      <c r="U102" s="1574"/>
      <c r="V102" s="1575"/>
      <c r="W102" s="1575"/>
      <c r="X102" s="1575"/>
      <c r="Y102" s="1575"/>
      <c r="Z102" s="1575"/>
      <c r="AA102" s="1575"/>
      <c r="AB102" s="1575"/>
      <c r="AC102" s="1575"/>
      <c r="AD102" s="1575"/>
      <c r="AE102" s="1575"/>
      <c r="AF102" s="1576"/>
      <c r="AG102" s="1386"/>
      <c r="AH102" s="1216"/>
      <c r="AI102" s="1388"/>
      <c r="AJ102" s="543"/>
      <c r="AK102" s="1220"/>
      <c r="AL102" s="1174"/>
      <c r="AM102" s="1174"/>
      <c r="AN102" s="1177"/>
      <c r="AO102" s="1179"/>
      <c r="AP102" s="1174"/>
      <c r="AQ102" s="1280"/>
      <c r="AR102" s="1242"/>
      <c r="AS102" s="1267"/>
      <c r="AT102" s="1246"/>
      <c r="AU102" s="516"/>
      <c r="AV102" s="1591"/>
      <c r="AW102" s="1436"/>
      <c r="AX102" s="1436"/>
      <c r="AY102" s="1236"/>
      <c r="AZ102" s="1238"/>
      <c r="BA102" s="516"/>
      <c r="BB102" s="515" t="s">
        <v>688</v>
      </c>
      <c r="BC102" s="544">
        <v>3</v>
      </c>
      <c r="BD102" s="544">
        <f>IF($AG$100="×",3,COUNTIF($AG$101:$AG$109,"該当無"))</f>
        <v>0</v>
      </c>
      <c r="BE102" s="544">
        <f>BC102-BD102</f>
        <v>3</v>
      </c>
      <c r="BF102" s="544">
        <f>IF($AG$100="×",0,COUNTIF($AG$101:$AG$109,"&gt;0"))</f>
        <v>0</v>
      </c>
      <c r="BG102" s="544">
        <f>IF($AG$100="×",0,COUNTIF($AG$101:$AG$109,"0"))</f>
        <v>0</v>
      </c>
      <c r="BH102" s="544">
        <f>BG102-BL102</f>
        <v>0</v>
      </c>
      <c r="BI102" s="544">
        <f>IF($AG$100="×",0,COUNTIF($AH$101:$AH$109,BI101))</f>
        <v>0</v>
      </c>
      <c r="BJ102" s="544">
        <f>IF($AG$100="×",0,COUNTIF($AH$101:$AH$109,BJ101))</f>
        <v>0</v>
      </c>
      <c r="BK102" s="544">
        <f>IF($AG$100="×",0,COUNTIF($AH$101:$AH$109,BK101))</f>
        <v>0</v>
      </c>
      <c r="BL102" s="544">
        <f>IF($AG$100="×",0,COUNTIF($AH$101:$AH$109,BL101))</f>
        <v>0</v>
      </c>
      <c r="BM102" s="516"/>
      <c r="BN102" s="1239"/>
      <c r="BO102" s="1174"/>
      <c r="BP102" s="1174"/>
      <c r="BQ102" s="1240"/>
      <c r="BR102" s="516"/>
    </row>
    <row r="103" spans="2:70" s="544" customFormat="1" ht="21" customHeight="1">
      <c r="B103" s="1458"/>
      <c r="C103" s="1457"/>
      <c r="D103" s="1564"/>
      <c r="E103" s="1565"/>
      <c r="F103" s="1569"/>
      <c r="G103" s="1569"/>
      <c r="H103" s="1570"/>
      <c r="I103" s="1470"/>
      <c r="J103" s="1402"/>
      <c r="K103" s="1402"/>
      <c r="L103" s="1402"/>
      <c r="M103" s="1402"/>
      <c r="N103" s="1402"/>
      <c r="O103" s="1402"/>
      <c r="P103" s="1402"/>
      <c r="Q103" s="1402"/>
      <c r="R103" s="1402"/>
      <c r="S103" s="1402"/>
      <c r="T103" s="1402"/>
      <c r="U103" s="1577"/>
      <c r="V103" s="1578"/>
      <c r="W103" s="1578"/>
      <c r="X103" s="1578"/>
      <c r="Y103" s="1578"/>
      <c r="Z103" s="1578"/>
      <c r="AA103" s="1578"/>
      <c r="AB103" s="1578"/>
      <c r="AC103" s="1578"/>
      <c r="AD103" s="1578"/>
      <c r="AE103" s="1578"/>
      <c r="AF103" s="1579"/>
      <c r="AG103" s="1386"/>
      <c r="AH103" s="1216"/>
      <c r="AI103" s="1390"/>
      <c r="AJ103" s="543"/>
      <c r="AK103" s="1220"/>
      <c r="AL103" s="1174"/>
      <c r="AM103" s="1174"/>
      <c r="AN103" s="1177"/>
      <c r="AO103" s="1180"/>
      <c r="AP103" s="1174"/>
      <c r="AQ103" s="1181"/>
      <c r="AR103" s="1242"/>
      <c r="AS103" s="1243"/>
      <c r="AT103" s="1246"/>
      <c r="AU103" s="516"/>
      <c r="AV103" s="1592"/>
      <c r="AW103" s="1593"/>
      <c r="AX103" s="1593"/>
      <c r="AY103" s="1262"/>
      <c r="AZ103" s="1264"/>
      <c r="BA103" s="516"/>
      <c r="BB103" s="516"/>
      <c r="BC103" s="516"/>
      <c r="BD103" s="516"/>
      <c r="BE103" s="516"/>
      <c r="BF103" s="516"/>
      <c r="BG103" s="516"/>
      <c r="BH103" s="516"/>
      <c r="BI103" s="516"/>
      <c r="BJ103" s="516"/>
      <c r="BK103" s="516"/>
      <c r="BL103" s="516"/>
      <c r="BM103" s="516"/>
      <c r="BN103" s="1239"/>
      <c r="BO103" s="1174"/>
      <c r="BP103" s="1174"/>
      <c r="BQ103" s="1240"/>
      <c r="BR103" s="516"/>
    </row>
    <row r="104" spans="2:70" s="544" customFormat="1" ht="21" customHeight="1">
      <c r="B104" s="1580">
        <f>MAX($B$16:B101)+1</f>
        <v>29</v>
      </c>
      <c r="C104" s="1457"/>
      <c r="D104" s="1564"/>
      <c r="E104" s="1565"/>
      <c r="F104" s="1581" t="s">
        <v>689</v>
      </c>
      <c r="G104" s="1581"/>
      <c r="H104" s="1582"/>
      <c r="I104" s="1589" t="s">
        <v>690</v>
      </c>
      <c r="J104" s="1492"/>
      <c r="K104" s="1492"/>
      <c r="L104" s="1492"/>
      <c r="M104" s="1492"/>
      <c r="N104" s="1492"/>
      <c r="O104" s="1492"/>
      <c r="P104" s="1492"/>
      <c r="Q104" s="1492"/>
      <c r="R104" s="1492"/>
      <c r="S104" s="1492"/>
      <c r="T104" s="1492"/>
      <c r="U104" s="1583" t="s">
        <v>687</v>
      </c>
      <c r="V104" s="1584"/>
      <c r="W104" s="1584"/>
      <c r="X104" s="1584"/>
      <c r="Y104" s="1584"/>
      <c r="Z104" s="1584"/>
      <c r="AA104" s="1584"/>
      <c r="AB104" s="1584"/>
      <c r="AC104" s="1584"/>
      <c r="AD104" s="1584"/>
      <c r="AE104" s="1584"/>
      <c r="AF104" s="1585"/>
      <c r="AG104" s="1385"/>
      <c r="AH104" s="1216"/>
      <c r="AI104" s="1387"/>
      <c r="AJ104" s="543"/>
      <c r="AK104" s="1220">
        <v>2</v>
      </c>
      <c r="AL104" s="1174">
        <v>2</v>
      </c>
      <c r="AM104" s="1175">
        <f>IF($AG104="該当無",0,IF($AG$100="×",0,1))</f>
        <v>1</v>
      </c>
      <c r="AN104" s="1177">
        <v>1</v>
      </c>
      <c r="AO104" s="1249"/>
      <c r="AP104" s="1174">
        <f>$AK104*$AM104*$AN104</f>
        <v>2</v>
      </c>
      <c r="AQ104" s="1279">
        <f t="shared" ref="AQ104" si="26">$AP104*28/$AS$11</f>
        <v>2</v>
      </c>
      <c r="AR104" s="1265"/>
      <c r="AS104" s="1266">
        <f>IF($AG104=-1,$AG104*$AO104,IF($AP104=0,0,$AG104/$AL104*$AQ104))</f>
        <v>0</v>
      </c>
      <c r="AT104" s="1268"/>
      <c r="AU104" s="516"/>
      <c r="AV104" s="1590">
        <f>IF($AG$100="×","該当無",2)</f>
        <v>2</v>
      </c>
      <c r="AW104" s="1435">
        <f>IF($AG$100="×","該当無",1)</f>
        <v>1</v>
      </c>
      <c r="AX104" s="1435">
        <f>IF($AG$100="×","該当無",0)</f>
        <v>0</v>
      </c>
      <c r="AY104" s="1261" t="s">
        <v>101</v>
      </c>
      <c r="AZ104" s="1263"/>
      <c r="BA104" s="516"/>
      <c r="BB104" s="516"/>
      <c r="BC104" s="516"/>
      <c r="BD104" s="516"/>
      <c r="BE104" s="516"/>
      <c r="BF104" s="516"/>
      <c r="BG104" s="516"/>
      <c r="BH104" s="516"/>
      <c r="BI104" s="516"/>
      <c r="BJ104" s="516"/>
      <c r="BK104" s="516"/>
      <c r="BL104" s="516"/>
      <c r="BM104" s="516"/>
      <c r="BN104" s="1239" t="str">
        <f>IF($AG104=0,"今年度","")</f>
        <v>今年度</v>
      </c>
      <c r="BO104" s="1174" t="str">
        <f>IF($AG104=0,"来年度","")</f>
        <v>来年度</v>
      </c>
      <c r="BP104" s="1174" t="str">
        <f>IF($AG104=0,"再来年度","")</f>
        <v>再来年度</v>
      </c>
      <c r="BQ104" s="1240" t="str">
        <f>IF($AG104=0,"未定","")</f>
        <v>未定</v>
      </c>
      <c r="BR104" s="516"/>
    </row>
    <row r="105" spans="2:70" s="544" customFormat="1" ht="21" customHeight="1">
      <c r="B105" s="1457"/>
      <c r="C105" s="1457"/>
      <c r="D105" s="1564"/>
      <c r="E105" s="1565"/>
      <c r="F105" s="1195"/>
      <c r="G105" s="1195"/>
      <c r="H105" s="1395"/>
      <c r="I105" s="1468"/>
      <c r="J105" s="1399"/>
      <c r="K105" s="1399"/>
      <c r="L105" s="1399"/>
      <c r="M105" s="1399"/>
      <c r="N105" s="1399"/>
      <c r="O105" s="1399"/>
      <c r="P105" s="1399"/>
      <c r="Q105" s="1399"/>
      <c r="R105" s="1399"/>
      <c r="S105" s="1399"/>
      <c r="T105" s="1399"/>
      <c r="U105" s="1574"/>
      <c r="V105" s="1575"/>
      <c r="W105" s="1575"/>
      <c r="X105" s="1575"/>
      <c r="Y105" s="1575"/>
      <c r="Z105" s="1575"/>
      <c r="AA105" s="1575"/>
      <c r="AB105" s="1575"/>
      <c r="AC105" s="1575"/>
      <c r="AD105" s="1575"/>
      <c r="AE105" s="1575"/>
      <c r="AF105" s="1576"/>
      <c r="AG105" s="1386"/>
      <c r="AH105" s="1216"/>
      <c r="AI105" s="1388"/>
      <c r="AJ105" s="543"/>
      <c r="AK105" s="1220"/>
      <c r="AL105" s="1174"/>
      <c r="AM105" s="1174"/>
      <c r="AN105" s="1177"/>
      <c r="AO105" s="1179"/>
      <c r="AP105" s="1174"/>
      <c r="AQ105" s="1280"/>
      <c r="AR105" s="1242"/>
      <c r="AS105" s="1267"/>
      <c r="AT105" s="1246"/>
      <c r="AU105" s="516"/>
      <c r="AV105" s="1591"/>
      <c r="AW105" s="1436"/>
      <c r="AX105" s="1436"/>
      <c r="AY105" s="1236"/>
      <c r="AZ105" s="1238"/>
      <c r="BA105" s="516"/>
      <c r="BB105" s="516"/>
      <c r="BC105" s="516"/>
      <c r="BD105" s="516"/>
      <c r="BE105" s="516"/>
      <c r="BF105" s="516"/>
      <c r="BG105" s="516"/>
      <c r="BH105" s="516"/>
      <c r="BI105" s="516"/>
      <c r="BJ105" s="516"/>
      <c r="BK105" s="516"/>
      <c r="BL105" s="516"/>
      <c r="BM105" s="516"/>
      <c r="BN105" s="1239"/>
      <c r="BO105" s="1174"/>
      <c r="BP105" s="1174"/>
      <c r="BQ105" s="1240"/>
      <c r="BR105" s="516"/>
    </row>
    <row r="106" spans="2:70" s="544" customFormat="1" ht="21" customHeight="1">
      <c r="B106" s="1458"/>
      <c r="C106" s="1457"/>
      <c r="D106" s="1564"/>
      <c r="E106" s="1565"/>
      <c r="F106" s="1569"/>
      <c r="G106" s="1569"/>
      <c r="H106" s="1570"/>
      <c r="I106" s="1470"/>
      <c r="J106" s="1402"/>
      <c r="K106" s="1402"/>
      <c r="L106" s="1402"/>
      <c r="M106" s="1402"/>
      <c r="N106" s="1402"/>
      <c r="O106" s="1402"/>
      <c r="P106" s="1402"/>
      <c r="Q106" s="1402"/>
      <c r="R106" s="1402"/>
      <c r="S106" s="1402"/>
      <c r="T106" s="1402"/>
      <c r="U106" s="1577"/>
      <c r="V106" s="1578"/>
      <c r="W106" s="1578"/>
      <c r="X106" s="1578"/>
      <c r="Y106" s="1578"/>
      <c r="Z106" s="1578"/>
      <c r="AA106" s="1578"/>
      <c r="AB106" s="1578"/>
      <c r="AC106" s="1578"/>
      <c r="AD106" s="1578"/>
      <c r="AE106" s="1578"/>
      <c r="AF106" s="1579"/>
      <c r="AG106" s="1386"/>
      <c r="AH106" s="1216"/>
      <c r="AI106" s="1390"/>
      <c r="AJ106" s="543"/>
      <c r="AK106" s="1220"/>
      <c r="AL106" s="1174"/>
      <c r="AM106" s="1174"/>
      <c r="AN106" s="1177"/>
      <c r="AO106" s="1180"/>
      <c r="AP106" s="1174"/>
      <c r="AQ106" s="1181"/>
      <c r="AR106" s="1242"/>
      <c r="AS106" s="1243"/>
      <c r="AT106" s="1246"/>
      <c r="AU106" s="516"/>
      <c r="AV106" s="1592"/>
      <c r="AW106" s="1593"/>
      <c r="AX106" s="1593"/>
      <c r="AY106" s="1262"/>
      <c r="AZ106" s="1264"/>
      <c r="BA106" s="516"/>
      <c r="BB106" s="516"/>
      <c r="BC106" s="516"/>
      <c r="BD106" s="516"/>
      <c r="BE106" s="516"/>
      <c r="BF106" s="516"/>
      <c r="BG106" s="516"/>
      <c r="BH106" s="516"/>
      <c r="BI106" s="516"/>
      <c r="BJ106" s="516"/>
      <c r="BK106" s="516"/>
      <c r="BL106" s="516"/>
      <c r="BM106" s="516"/>
      <c r="BN106" s="1239"/>
      <c r="BO106" s="1174"/>
      <c r="BP106" s="1174"/>
      <c r="BQ106" s="1240"/>
      <c r="BR106" s="516"/>
    </row>
    <row r="107" spans="2:70" s="544" customFormat="1" ht="21" customHeight="1">
      <c r="B107" s="1580">
        <f>MAX($B$16:B104)+1</f>
        <v>30</v>
      </c>
      <c r="C107" s="1457"/>
      <c r="D107" s="1564"/>
      <c r="E107" s="1565"/>
      <c r="F107" s="1581" t="s">
        <v>691</v>
      </c>
      <c r="G107" s="1581"/>
      <c r="H107" s="1582"/>
      <c r="I107" s="1273" t="s">
        <v>692</v>
      </c>
      <c r="J107" s="1273"/>
      <c r="K107" s="1273"/>
      <c r="L107" s="1273"/>
      <c r="M107" s="1273"/>
      <c r="N107" s="1273"/>
      <c r="O107" s="1273"/>
      <c r="P107" s="1273"/>
      <c r="Q107" s="1273"/>
      <c r="R107" s="1273"/>
      <c r="S107" s="1273"/>
      <c r="T107" s="1293"/>
      <c r="U107" s="1583" t="s">
        <v>687</v>
      </c>
      <c r="V107" s="1584"/>
      <c r="W107" s="1584"/>
      <c r="X107" s="1584"/>
      <c r="Y107" s="1584"/>
      <c r="Z107" s="1584"/>
      <c r="AA107" s="1584"/>
      <c r="AB107" s="1584"/>
      <c r="AC107" s="1584"/>
      <c r="AD107" s="1584"/>
      <c r="AE107" s="1584"/>
      <c r="AF107" s="1585"/>
      <c r="AG107" s="1385"/>
      <c r="AH107" s="1216"/>
      <c r="AI107" s="1387"/>
      <c r="AJ107" s="543"/>
      <c r="AK107" s="1220">
        <v>2</v>
      </c>
      <c r="AL107" s="1174">
        <v>2</v>
      </c>
      <c r="AM107" s="1174">
        <f>IF($AG107="該当無",0,IF($AG$100="×",0,1))</f>
        <v>1</v>
      </c>
      <c r="AN107" s="1177">
        <v>1</v>
      </c>
      <c r="AO107" s="1249"/>
      <c r="AP107" s="1174">
        <f>$AK107*$AM107*$AN107</f>
        <v>2</v>
      </c>
      <c r="AQ107" s="1279">
        <f t="shared" ref="AQ107" si="27">$AP107*28/$AS$11</f>
        <v>2</v>
      </c>
      <c r="AR107" s="1265"/>
      <c r="AS107" s="1266">
        <f>IF($AG107=-1,$AG107*$AO107,IF($AP107=0,0,$AG107/$AL107*$AQ107))</f>
        <v>0</v>
      </c>
      <c r="AT107" s="1268"/>
      <c r="AU107" s="516"/>
      <c r="AV107" s="1590">
        <f>IF($AG$100="×","該当無",2)</f>
        <v>2</v>
      </c>
      <c r="AW107" s="1435">
        <f>IF($AG$100="×","該当無",1)</f>
        <v>1</v>
      </c>
      <c r="AX107" s="1435">
        <f>IF($AG$100="×","該当無",0)</f>
        <v>0</v>
      </c>
      <c r="AY107" s="1261" t="s">
        <v>101</v>
      </c>
      <c r="AZ107" s="1263"/>
      <c r="BA107" s="516"/>
      <c r="BM107" s="516"/>
      <c r="BN107" s="1239" t="str">
        <f>IF($AG107=0,"今年度","")</f>
        <v>今年度</v>
      </c>
      <c r="BO107" s="1174" t="str">
        <f>IF($AG107=0,"来年度","")</f>
        <v>来年度</v>
      </c>
      <c r="BP107" s="1174" t="str">
        <f>IF($AG107=0,"再来年度","")</f>
        <v>再来年度</v>
      </c>
      <c r="BQ107" s="1240" t="str">
        <f>IF($AG107=0,"未定","")</f>
        <v>未定</v>
      </c>
      <c r="BR107" s="516"/>
    </row>
    <row r="108" spans="2:70" s="544" customFormat="1" ht="21" customHeight="1">
      <c r="B108" s="1457"/>
      <c r="C108" s="1457"/>
      <c r="D108" s="1564"/>
      <c r="E108" s="1565"/>
      <c r="F108" s="1195"/>
      <c r="G108" s="1195"/>
      <c r="H108" s="1395"/>
      <c r="I108" s="1273"/>
      <c r="J108" s="1273"/>
      <c r="K108" s="1273"/>
      <c r="L108" s="1273"/>
      <c r="M108" s="1273"/>
      <c r="N108" s="1273"/>
      <c r="O108" s="1273"/>
      <c r="P108" s="1273"/>
      <c r="Q108" s="1273"/>
      <c r="R108" s="1273"/>
      <c r="S108" s="1273"/>
      <c r="T108" s="1293"/>
      <c r="U108" s="1574"/>
      <c r="V108" s="1575"/>
      <c r="W108" s="1575"/>
      <c r="X108" s="1575"/>
      <c r="Y108" s="1575"/>
      <c r="Z108" s="1575"/>
      <c r="AA108" s="1575"/>
      <c r="AB108" s="1575"/>
      <c r="AC108" s="1575"/>
      <c r="AD108" s="1575"/>
      <c r="AE108" s="1575"/>
      <c r="AF108" s="1576"/>
      <c r="AG108" s="1386"/>
      <c r="AH108" s="1216"/>
      <c r="AI108" s="1388"/>
      <c r="AJ108" s="543"/>
      <c r="AK108" s="1220"/>
      <c r="AL108" s="1174"/>
      <c r="AM108" s="1174"/>
      <c r="AN108" s="1177"/>
      <c r="AO108" s="1179"/>
      <c r="AP108" s="1174"/>
      <c r="AQ108" s="1280"/>
      <c r="AR108" s="1242"/>
      <c r="AS108" s="1267"/>
      <c r="AT108" s="1246"/>
      <c r="AU108" s="516"/>
      <c r="AV108" s="1591"/>
      <c r="AW108" s="1436"/>
      <c r="AX108" s="1436"/>
      <c r="AY108" s="1236"/>
      <c r="AZ108" s="1238"/>
      <c r="BA108" s="516"/>
      <c r="BB108" s="582"/>
      <c r="BC108" s="545" t="s">
        <v>16</v>
      </c>
      <c r="BD108" s="545" t="s">
        <v>15</v>
      </c>
      <c r="BE108" s="545" t="s">
        <v>17</v>
      </c>
      <c r="BF108" s="545" t="s">
        <v>18</v>
      </c>
      <c r="BG108" s="545" t="s">
        <v>19</v>
      </c>
      <c r="BH108" s="545" t="s">
        <v>20</v>
      </c>
      <c r="BI108" s="545" t="s">
        <v>21</v>
      </c>
      <c r="BJ108" s="545" t="s">
        <v>22</v>
      </c>
      <c r="BK108" s="545" t="s">
        <v>24</v>
      </c>
      <c r="BL108" s="545" t="s">
        <v>23</v>
      </c>
      <c r="BM108" s="516"/>
      <c r="BN108" s="1239"/>
      <c r="BO108" s="1174"/>
      <c r="BP108" s="1174"/>
      <c r="BQ108" s="1240"/>
      <c r="BR108" s="516"/>
    </row>
    <row r="109" spans="2:70" s="544" customFormat="1" ht="21" customHeight="1">
      <c r="B109" s="1566"/>
      <c r="C109" s="1566"/>
      <c r="D109" s="1567"/>
      <c r="E109" s="1568"/>
      <c r="F109" s="1198"/>
      <c r="G109" s="1198"/>
      <c r="H109" s="1312"/>
      <c r="I109" s="1295"/>
      <c r="J109" s="1295"/>
      <c r="K109" s="1295"/>
      <c r="L109" s="1295"/>
      <c r="M109" s="1295"/>
      <c r="N109" s="1295"/>
      <c r="O109" s="1295"/>
      <c r="P109" s="1295"/>
      <c r="Q109" s="1295"/>
      <c r="R109" s="1295"/>
      <c r="S109" s="1295"/>
      <c r="T109" s="1296"/>
      <c r="U109" s="1586"/>
      <c r="V109" s="1587"/>
      <c r="W109" s="1587"/>
      <c r="X109" s="1587"/>
      <c r="Y109" s="1587"/>
      <c r="Z109" s="1587"/>
      <c r="AA109" s="1587"/>
      <c r="AB109" s="1587"/>
      <c r="AC109" s="1587"/>
      <c r="AD109" s="1587"/>
      <c r="AE109" s="1587"/>
      <c r="AF109" s="1588"/>
      <c r="AG109" s="1349"/>
      <c r="AH109" s="1305"/>
      <c r="AI109" s="1375"/>
      <c r="AJ109" s="543"/>
      <c r="AK109" s="1287"/>
      <c r="AL109" s="1281"/>
      <c r="AM109" s="1281"/>
      <c r="AN109" s="1283"/>
      <c r="AO109" s="1379"/>
      <c r="AP109" s="1281"/>
      <c r="AQ109" s="1380"/>
      <c r="AR109" s="1381"/>
      <c r="AS109" s="1372"/>
      <c r="AT109" s="1382"/>
      <c r="AU109" s="516"/>
      <c r="AV109" s="1600"/>
      <c r="AW109" s="1437"/>
      <c r="AX109" s="1437"/>
      <c r="AY109" s="1415"/>
      <c r="AZ109" s="1389"/>
      <c r="BA109" s="516"/>
      <c r="BB109" s="560" t="s">
        <v>693</v>
      </c>
      <c r="BC109" s="582">
        <f>BC91+BC102</f>
        <v>14</v>
      </c>
      <c r="BD109" s="546">
        <f>BD91+BD102</f>
        <v>0</v>
      </c>
      <c r="BE109" s="546">
        <f t="shared" ref="BE109:BL109" si="28">BE91+BE102</f>
        <v>14</v>
      </c>
      <c r="BF109" s="546">
        <f t="shared" si="28"/>
        <v>0</v>
      </c>
      <c r="BG109" s="545">
        <f t="shared" si="28"/>
        <v>0</v>
      </c>
      <c r="BH109" s="546">
        <f t="shared" si="28"/>
        <v>0</v>
      </c>
      <c r="BI109" s="546">
        <f t="shared" si="28"/>
        <v>0</v>
      </c>
      <c r="BJ109" s="546">
        <f t="shared" si="28"/>
        <v>0</v>
      </c>
      <c r="BK109" s="546">
        <f t="shared" si="28"/>
        <v>0</v>
      </c>
      <c r="BL109" s="546">
        <f t="shared" si="28"/>
        <v>0</v>
      </c>
      <c r="BM109" s="516"/>
      <c r="BN109" s="1239"/>
      <c r="BO109" s="1174"/>
      <c r="BP109" s="1174"/>
      <c r="BQ109" s="1240"/>
      <c r="BR109" s="516"/>
    </row>
    <row r="110" spans="2:70" ht="26.25" customHeight="1">
      <c r="B110" s="547" t="s">
        <v>500</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50"/>
      <c r="AH110" s="550"/>
      <c r="AI110" s="551"/>
      <c r="AK110" s="584"/>
      <c r="AL110" s="585"/>
      <c r="AM110" s="585"/>
      <c r="AN110" s="585"/>
      <c r="AO110" s="585"/>
      <c r="AP110" s="585"/>
      <c r="AQ110" s="585"/>
      <c r="AR110" s="535">
        <f>SUM(AR111:AR141)</f>
        <v>10</v>
      </c>
      <c r="AS110" s="534"/>
      <c r="AT110" s="535">
        <f>SUM(AT111:AT141)</f>
        <v>0</v>
      </c>
      <c r="AV110" s="584"/>
      <c r="AW110" s="585"/>
      <c r="AX110" s="585"/>
      <c r="AY110" s="585"/>
      <c r="AZ110" s="585"/>
      <c r="BA110" s="586"/>
      <c r="BC110" s="521"/>
      <c r="BD110" s="521"/>
      <c r="BE110" s="521"/>
      <c r="BF110" s="521"/>
      <c r="BG110" s="521"/>
      <c r="BH110" s="521"/>
      <c r="BI110" s="521"/>
      <c r="BJ110" s="521"/>
      <c r="BK110" s="521"/>
      <c r="BL110" s="521"/>
      <c r="BN110" s="540"/>
      <c r="BO110" s="541"/>
      <c r="BP110" s="541"/>
      <c r="BQ110" s="542"/>
    </row>
    <row r="111" spans="2:70" ht="21" customHeight="1">
      <c r="B111" s="1189">
        <v>31</v>
      </c>
      <c r="C111" s="1594" t="s">
        <v>483</v>
      </c>
      <c r="D111" s="1504"/>
      <c r="E111" s="1595"/>
      <c r="F111" s="1199" t="s">
        <v>87</v>
      </c>
      <c r="G111" s="1200"/>
      <c r="H111" s="1201"/>
      <c r="I111" s="1420" t="s">
        <v>603</v>
      </c>
      <c r="J111" s="1421"/>
      <c r="K111" s="1421"/>
      <c r="L111" s="1421"/>
      <c r="M111" s="1421"/>
      <c r="N111" s="1421"/>
      <c r="O111" s="1421"/>
      <c r="P111" s="1421"/>
      <c r="Q111" s="1421"/>
      <c r="R111" s="1421"/>
      <c r="S111" s="1421"/>
      <c r="T111" s="1423"/>
      <c r="U111" s="1420" t="s">
        <v>506</v>
      </c>
      <c r="V111" s="1421"/>
      <c r="W111" s="1421"/>
      <c r="X111" s="1421"/>
      <c r="Y111" s="1421"/>
      <c r="Z111" s="1421"/>
      <c r="AA111" s="1421"/>
      <c r="AB111" s="1421"/>
      <c r="AC111" s="1421"/>
      <c r="AD111" s="1421"/>
      <c r="AE111" s="1421"/>
      <c r="AF111" s="1423"/>
      <c r="AG111" s="1601"/>
      <c r="AH111" s="1560"/>
      <c r="AI111" s="1388"/>
      <c r="AK111" s="1603">
        <v>2</v>
      </c>
      <c r="AL111" s="1173">
        <v>2</v>
      </c>
      <c r="AM111" s="1455">
        <f>IF($AG111="該当無",0,1)</f>
        <v>1</v>
      </c>
      <c r="AN111" s="1609">
        <v>1</v>
      </c>
      <c r="AO111" s="1455"/>
      <c r="AP111" s="1173">
        <f>$AK111*$AM111*$AN111</f>
        <v>2</v>
      </c>
      <c r="AQ111" s="1610">
        <f>$AP111*10/$AT$11</f>
        <v>2</v>
      </c>
      <c r="AR111" s="1606">
        <f>SUM(AQ111:AQ128)</f>
        <v>10</v>
      </c>
      <c r="AS111" s="1611">
        <f>IF($AP111=0,0,IF($AG111=-1,$AG111*$AO111,$AG111/$AL111*$AQ111))</f>
        <v>0</v>
      </c>
      <c r="AT111" s="1606">
        <f>SUM(AS111:AS128)</f>
        <v>0</v>
      </c>
      <c r="AU111" s="587"/>
      <c r="AV111" s="1608">
        <v>2</v>
      </c>
      <c r="AW111" s="1455">
        <v>1</v>
      </c>
      <c r="AX111" s="1455">
        <v>0</v>
      </c>
      <c r="AY111" s="1235"/>
      <c r="AZ111" s="1613"/>
      <c r="BA111" s="1612"/>
      <c r="BB111" s="588"/>
      <c r="BC111" s="521"/>
      <c r="BD111" s="589"/>
      <c r="BE111" s="589"/>
      <c r="BF111" s="589"/>
      <c r="BG111" s="521"/>
      <c r="BH111" s="589"/>
      <c r="BI111" s="589"/>
      <c r="BJ111" s="589"/>
      <c r="BK111" s="589"/>
      <c r="BL111" s="589"/>
      <c r="BN111" s="1518" t="str">
        <f>IF($AG111=0,"今年度","")</f>
        <v>今年度</v>
      </c>
      <c r="BO111" s="1277" t="str">
        <f>IF($AG111=0,"来年度","")</f>
        <v>来年度</v>
      </c>
      <c r="BP111" s="1174" t="str">
        <f>IF($AG111=0,"再来年度","")</f>
        <v>再来年度</v>
      </c>
      <c r="BQ111" s="1240" t="str">
        <f>IF($AG111=0,"未定","")</f>
        <v>未定</v>
      </c>
    </row>
    <row r="112" spans="2:70" ht="21" customHeight="1">
      <c r="B112" s="1190"/>
      <c r="C112" s="1596"/>
      <c r="D112" s="1507"/>
      <c r="E112" s="1597"/>
      <c r="F112" s="1202"/>
      <c r="G112" s="1203"/>
      <c r="H112" s="1204"/>
      <c r="I112" s="1256"/>
      <c r="J112" s="1257"/>
      <c r="K112" s="1257"/>
      <c r="L112" s="1257"/>
      <c r="M112" s="1257"/>
      <c r="N112" s="1257"/>
      <c r="O112" s="1257"/>
      <c r="P112" s="1257"/>
      <c r="Q112" s="1257"/>
      <c r="R112" s="1257"/>
      <c r="S112" s="1257"/>
      <c r="T112" s="1259"/>
      <c r="U112" s="1256"/>
      <c r="V112" s="1257"/>
      <c r="W112" s="1257"/>
      <c r="X112" s="1257"/>
      <c r="Y112" s="1257"/>
      <c r="Z112" s="1257"/>
      <c r="AA112" s="1257"/>
      <c r="AB112" s="1257"/>
      <c r="AC112" s="1257"/>
      <c r="AD112" s="1257"/>
      <c r="AE112" s="1257"/>
      <c r="AF112" s="1259"/>
      <c r="AG112" s="1602"/>
      <c r="AH112" s="1216"/>
      <c r="AI112" s="1388"/>
      <c r="AK112" s="1604"/>
      <c r="AL112" s="1174"/>
      <c r="AM112" s="1278"/>
      <c r="AN112" s="1605"/>
      <c r="AO112" s="1278"/>
      <c r="AP112" s="1174"/>
      <c r="AQ112" s="1280"/>
      <c r="AR112" s="1607"/>
      <c r="AS112" s="1267"/>
      <c r="AT112" s="1607"/>
      <c r="AU112" s="587"/>
      <c r="AV112" s="1439"/>
      <c r="AW112" s="1278"/>
      <c r="AX112" s="1278"/>
      <c r="AY112" s="1236"/>
      <c r="AZ112" s="1614"/>
      <c r="BA112" s="1521"/>
      <c r="BN112" s="1439"/>
      <c r="BO112" s="1278"/>
      <c r="BP112" s="1174"/>
      <c r="BQ112" s="1240"/>
    </row>
    <row r="113" spans="2:69" ht="21" customHeight="1">
      <c r="B113" s="1190"/>
      <c r="C113" s="1596"/>
      <c r="D113" s="1507"/>
      <c r="E113" s="1597"/>
      <c r="F113" s="1202"/>
      <c r="G113" s="1203"/>
      <c r="H113" s="1204"/>
      <c r="I113" s="1256"/>
      <c r="J113" s="1257"/>
      <c r="K113" s="1257"/>
      <c r="L113" s="1257"/>
      <c r="M113" s="1257"/>
      <c r="N113" s="1257"/>
      <c r="O113" s="1257"/>
      <c r="P113" s="1257"/>
      <c r="Q113" s="1257"/>
      <c r="R113" s="1257"/>
      <c r="S113" s="1257"/>
      <c r="T113" s="1259"/>
      <c r="U113" s="1256"/>
      <c r="V113" s="1257"/>
      <c r="W113" s="1257"/>
      <c r="X113" s="1257"/>
      <c r="Y113" s="1257"/>
      <c r="Z113" s="1257"/>
      <c r="AA113" s="1257"/>
      <c r="AB113" s="1257"/>
      <c r="AC113" s="1257"/>
      <c r="AD113" s="1257"/>
      <c r="AE113" s="1257"/>
      <c r="AF113" s="1259"/>
      <c r="AG113" s="1602"/>
      <c r="AH113" s="1481"/>
      <c r="AI113" s="1390"/>
      <c r="AK113" s="1604"/>
      <c r="AL113" s="1174"/>
      <c r="AM113" s="1175"/>
      <c r="AN113" s="1605"/>
      <c r="AO113" s="1175"/>
      <c r="AP113" s="1174"/>
      <c r="AQ113" s="1181"/>
      <c r="AR113" s="1607"/>
      <c r="AS113" s="1243"/>
      <c r="AT113" s="1607"/>
      <c r="AU113" s="587"/>
      <c r="AV113" s="1439"/>
      <c r="AW113" s="1278"/>
      <c r="AX113" s="1278"/>
      <c r="AY113" s="1236"/>
      <c r="AZ113" s="1614"/>
      <c r="BA113" s="1522"/>
      <c r="BN113" s="1440"/>
      <c r="BO113" s="1175"/>
      <c r="BP113" s="1174"/>
      <c r="BQ113" s="1240"/>
    </row>
    <row r="114" spans="2:69" ht="20.100000000000001" customHeight="1">
      <c r="B114" s="1190">
        <v>32</v>
      </c>
      <c r="C114" s="1596"/>
      <c r="D114" s="1507"/>
      <c r="E114" s="1597"/>
      <c r="F114" s="1202" t="s">
        <v>485</v>
      </c>
      <c r="G114" s="1203"/>
      <c r="H114" s="1204"/>
      <c r="I114" s="1256" t="s">
        <v>604</v>
      </c>
      <c r="J114" s="1257"/>
      <c r="K114" s="1257"/>
      <c r="L114" s="1257"/>
      <c r="M114" s="1257"/>
      <c r="N114" s="1257"/>
      <c r="O114" s="1257"/>
      <c r="P114" s="1257"/>
      <c r="Q114" s="1257"/>
      <c r="R114" s="1257"/>
      <c r="S114" s="1257"/>
      <c r="T114" s="1259"/>
      <c r="U114" s="1615" t="s">
        <v>507</v>
      </c>
      <c r="V114" s="1615"/>
      <c r="W114" s="1615"/>
      <c r="X114" s="1615"/>
      <c r="Y114" s="1615"/>
      <c r="Z114" s="1615"/>
      <c r="AA114" s="1615"/>
      <c r="AB114" s="1615"/>
      <c r="AC114" s="1615"/>
      <c r="AD114" s="1615"/>
      <c r="AE114" s="1615"/>
      <c r="AF114" s="1615"/>
      <c r="AG114" s="1602"/>
      <c r="AH114" s="1618"/>
      <c r="AI114" s="1622"/>
      <c r="AK114" s="1604">
        <v>1</v>
      </c>
      <c r="AL114" s="1605">
        <v>1</v>
      </c>
      <c r="AM114" s="1605">
        <f>IF($AG111="該当無",0,1)</f>
        <v>1</v>
      </c>
      <c r="AN114" s="1605">
        <v>1</v>
      </c>
      <c r="AO114" s="1605"/>
      <c r="AP114" s="1605">
        <f>$AK114*$AM114*$AN114</f>
        <v>1</v>
      </c>
      <c r="AQ114" s="1605">
        <f>$AP114*10/$AT$11</f>
        <v>1</v>
      </c>
      <c r="AR114" s="1620"/>
      <c r="AS114" s="1220">
        <f>IF($AP114=0,0,IF($AG114=-1,$AG114*$AO114,$AG114/$AL114*$AQ114))</f>
        <v>0</v>
      </c>
      <c r="AT114" s="1621"/>
      <c r="AV114" s="1239">
        <f>IF($AG111=0,0,1)</f>
        <v>0</v>
      </c>
      <c r="AW114" s="1174">
        <v>0</v>
      </c>
      <c r="AX114" s="1174"/>
      <c r="AY114" s="1174"/>
      <c r="AZ114" s="1174"/>
      <c r="BA114" s="1240"/>
      <c r="BN114" s="1518" t="str">
        <f>IF($AG114=0,"今年度","")</f>
        <v>今年度</v>
      </c>
      <c r="BO114" s="1277" t="str">
        <f>IF($AG114=0,"来年度","")</f>
        <v>来年度</v>
      </c>
      <c r="BP114" s="1277" t="str">
        <f>IF($AG114=0,"再来年度","")</f>
        <v>再来年度</v>
      </c>
      <c r="BQ114" s="1263" t="str">
        <f>IF($AG114=0,"未定","")</f>
        <v>未定</v>
      </c>
    </row>
    <row r="115" spans="2:69" ht="20.100000000000001" customHeight="1">
      <c r="B115" s="1190"/>
      <c r="C115" s="1596"/>
      <c r="D115" s="1507"/>
      <c r="E115" s="1597"/>
      <c r="F115" s="1202"/>
      <c r="G115" s="1203"/>
      <c r="H115" s="1204"/>
      <c r="I115" s="1256"/>
      <c r="J115" s="1257"/>
      <c r="K115" s="1257"/>
      <c r="L115" s="1257"/>
      <c r="M115" s="1257"/>
      <c r="N115" s="1257"/>
      <c r="O115" s="1257"/>
      <c r="P115" s="1257"/>
      <c r="Q115" s="1257"/>
      <c r="R115" s="1257"/>
      <c r="S115" s="1257"/>
      <c r="T115" s="1259"/>
      <c r="U115" s="1615"/>
      <c r="V115" s="1615"/>
      <c r="W115" s="1615"/>
      <c r="X115" s="1615"/>
      <c r="Y115" s="1615"/>
      <c r="Z115" s="1615"/>
      <c r="AA115" s="1615"/>
      <c r="AB115" s="1615"/>
      <c r="AC115" s="1615"/>
      <c r="AD115" s="1615"/>
      <c r="AE115" s="1615"/>
      <c r="AF115" s="1615"/>
      <c r="AG115" s="1602"/>
      <c r="AH115" s="1619"/>
      <c r="AI115" s="1623"/>
      <c r="AK115" s="1604"/>
      <c r="AL115" s="1605"/>
      <c r="AM115" s="1605"/>
      <c r="AN115" s="1605"/>
      <c r="AO115" s="1605"/>
      <c r="AP115" s="1605"/>
      <c r="AQ115" s="1605"/>
      <c r="AR115" s="1620"/>
      <c r="AS115" s="1220"/>
      <c r="AT115" s="1621"/>
      <c r="AV115" s="1239"/>
      <c r="AW115" s="1174"/>
      <c r="AX115" s="1174"/>
      <c r="AY115" s="1174"/>
      <c r="AZ115" s="1174"/>
      <c r="BA115" s="1240"/>
      <c r="BN115" s="1440"/>
      <c r="BO115" s="1175"/>
      <c r="BP115" s="1175"/>
      <c r="BQ115" s="1264"/>
    </row>
    <row r="116" spans="2:69" ht="20.100000000000001" customHeight="1">
      <c r="B116" s="1190">
        <v>33</v>
      </c>
      <c r="C116" s="1596"/>
      <c r="D116" s="1507"/>
      <c r="E116" s="1597"/>
      <c r="F116" s="1202" t="s">
        <v>486</v>
      </c>
      <c r="G116" s="1203"/>
      <c r="H116" s="1204"/>
      <c r="I116" s="1256" t="s">
        <v>605</v>
      </c>
      <c r="J116" s="1257"/>
      <c r="K116" s="1257"/>
      <c r="L116" s="1257"/>
      <c r="M116" s="1257"/>
      <c r="N116" s="1257"/>
      <c r="O116" s="1257"/>
      <c r="P116" s="1257"/>
      <c r="Q116" s="1257"/>
      <c r="R116" s="1257"/>
      <c r="S116" s="1257"/>
      <c r="T116" s="1259"/>
      <c r="U116" s="1615" t="s">
        <v>508</v>
      </c>
      <c r="V116" s="1615"/>
      <c r="W116" s="1615"/>
      <c r="X116" s="1615"/>
      <c r="Y116" s="1615"/>
      <c r="Z116" s="1615"/>
      <c r="AA116" s="1615"/>
      <c r="AB116" s="1615"/>
      <c r="AC116" s="1615"/>
      <c r="AD116" s="1615"/>
      <c r="AE116" s="1615"/>
      <c r="AF116" s="1615"/>
      <c r="AG116" s="1616"/>
      <c r="AH116" s="1618"/>
      <c r="AI116" s="1622"/>
      <c r="AK116" s="1604">
        <v>1</v>
      </c>
      <c r="AL116" s="1605">
        <v>1</v>
      </c>
      <c r="AM116" s="1605">
        <f>IF($AG113="該当無",0,1)</f>
        <v>1</v>
      </c>
      <c r="AN116" s="1605">
        <v>1</v>
      </c>
      <c r="AO116" s="1605"/>
      <c r="AP116" s="1605">
        <f>$AK116*$AM116*$AN116</f>
        <v>1</v>
      </c>
      <c r="AQ116" s="1605">
        <f>$AP116*10/$AT$11</f>
        <v>1</v>
      </c>
      <c r="AR116" s="1620"/>
      <c r="AS116" s="1220">
        <f>IF($AP116=0,0,IF($AG116=-1,$AG116*$AO116,$AG116/$AL116*$AQ116))</f>
        <v>0</v>
      </c>
      <c r="AT116" s="1621"/>
      <c r="AV116" s="1239">
        <v>1</v>
      </c>
      <c r="AW116" s="1174">
        <v>0</v>
      </c>
      <c r="AX116" s="1174"/>
      <c r="AY116" s="1174"/>
      <c r="AZ116" s="1174"/>
      <c r="BA116" s="1240"/>
      <c r="BN116" s="1518" t="str">
        <f>IF($AG116=0,"今年度","")</f>
        <v>今年度</v>
      </c>
      <c r="BO116" s="1277" t="str">
        <f>IF($AG116=0,"来年度","")</f>
        <v>来年度</v>
      </c>
      <c r="BP116" s="1277" t="str">
        <f>IF($AG116=0,"再来年度","")</f>
        <v>再来年度</v>
      </c>
      <c r="BQ116" s="1263" t="str">
        <f>IF($AG116=0,"未定","")</f>
        <v>未定</v>
      </c>
    </row>
    <row r="117" spans="2:69" ht="20.100000000000001" customHeight="1">
      <c r="B117" s="1190"/>
      <c r="C117" s="1596"/>
      <c r="D117" s="1507"/>
      <c r="E117" s="1597"/>
      <c r="F117" s="1202"/>
      <c r="G117" s="1203"/>
      <c r="H117" s="1204"/>
      <c r="I117" s="1256"/>
      <c r="J117" s="1257"/>
      <c r="K117" s="1257"/>
      <c r="L117" s="1257"/>
      <c r="M117" s="1257"/>
      <c r="N117" s="1257"/>
      <c r="O117" s="1257"/>
      <c r="P117" s="1257"/>
      <c r="Q117" s="1257"/>
      <c r="R117" s="1257"/>
      <c r="S117" s="1257"/>
      <c r="T117" s="1259"/>
      <c r="U117" s="1615"/>
      <c r="V117" s="1615"/>
      <c r="W117" s="1615"/>
      <c r="X117" s="1615"/>
      <c r="Y117" s="1615"/>
      <c r="Z117" s="1615"/>
      <c r="AA117" s="1615"/>
      <c r="AB117" s="1615"/>
      <c r="AC117" s="1615"/>
      <c r="AD117" s="1615"/>
      <c r="AE117" s="1615"/>
      <c r="AF117" s="1615"/>
      <c r="AG117" s="1617"/>
      <c r="AH117" s="1619"/>
      <c r="AI117" s="1623"/>
      <c r="AK117" s="1604"/>
      <c r="AL117" s="1605"/>
      <c r="AM117" s="1605"/>
      <c r="AN117" s="1605"/>
      <c r="AO117" s="1605"/>
      <c r="AP117" s="1605"/>
      <c r="AQ117" s="1605"/>
      <c r="AR117" s="1620"/>
      <c r="AS117" s="1220"/>
      <c r="AT117" s="1621"/>
      <c r="AV117" s="1239"/>
      <c r="AW117" s="1174"/>
      <c r="AX117" s="1174"/>
      <c r="AY117" s="1174"/>
      <c r="AZ117" s="1174"/>
      <c r="BA117" s="1240"/>
      <c r="BN117" s="1440"/>
      <c r="BO117" s="1175"/>
      <c r="BP117" s="1175"/>
      <c r="BQ117" s="1264"/>
    </row>
    <row r="118" spans="2:69" ht="49.5" customHeight="1">
      <c r="B118" s="1383">
        <v>34</v>
      </c>
      <c r="C118" s="1596"/>
      <c r="D118" s="1507"/>
      <c r="E118" s="1597"/>
      <c r="F118" s="1624" t="s">
        <v>484</v>
      </c>
      <c r="G118" s="1581"/>
      <c r="H118" s="1582"/>
      <c r="I118" s="1491" t="s">
        <v>606</v>
      </c>
      <c r="J118" s="1492"/>
      <c r="K118" s="1492"/>
      <c r="L118" s="1492"/>
      <c r="M118" s="1492"/>
      <c r="N118" s="1492"/>
      <c r="O118" s="1492"/>
      <c r="P118" s="1492"/>
      <c r="Q118" s="1492"/>
      <c r="R118" s="1492"/>
      <c r="S118" s="1492"/>
      <c r="T118" s="1493"/>
      <c r="U118" s="1491" t="s">
        <v>607</v>
      </c>
      <c r="V118" s="1492"/>
      <c r="W118" s="1492"/>
      <c r="X118" s="1492"/>
      <c r="Y118" s="1492"/>
      <c r="Z118" s="1492"/>
      <c r="AA118" s="1492"/>
      <c r="AB118" s="1492"/>
      <c r="AC118" s="1492"/>
      <c r="AD118" s="1492"/>
      <c r="AE118" s="1492"/>
      <c r="AF118" s="1493"/>
      <c r="AG118" s="1616"/>
      <c r="AH118" s="1618"/>
      <c r="AI118" s="1626"/>
      <c r="AK118" s="1604">
        <v>2</v>
      </c>
      <c r="AL118" s="1605">
        <v>5</v>
      </c>
      <c r="AM118" s="1605">
        <f>IF($AG111="該当無",0,1)</f>
        <v>1</v>
      </c>
      <c r="AN118" s="1605">
        <v>1</v>
      </c>
      <c r="AO118" s="1605"/>
      <c r="AP118" s="1605">
        <f>$AK118*$AM118*$AN118</f>
        <v>2</v>
      </c>
      <c r="AQ118" s="1605">
        <f>$AP118*10/$AT$11</f>
        <v>2</v>
      </c>
      <c r="AR118" s="1620"/>
      <c r="AS118" s="1220">
        <f>IF($AP118=0,0,IF($AG118=-1,$AG118*$AO118,$AG118/$AL118*$AQ118))</f>
        <v>0</v>
      </c>
      <c r="AT118" s="1621"/>
      <c r="AV118" s="1239">
        <v>5</v>
      </c>
      <c r="AW118" s="1174">
        <v>4</v>
      </c>
      <c r="AX118" s="1174">
        <v>3</v>
      </c>
      <c r="AY118" s="1174">
        <v>2</v>
      </c>
      <c r="AZ118" s="1174">
        <v>1</v>
      </c>
      <c r="BA118" s="1240">
        <v>0</v>
      </c>
      <c r="BN118" s="1518" t="str">
        <f>IF($AG118=0,"今年度","")</f>
        <v>今年度</v>
      </c>
      <c r="BO118" s="1277" t="str">
        <f>IF($AG118=0,"来年度","")</f>
        <v>来年度</v>
      </c>
      <c r="BP118" s="1277" t="str">
        <f>IF($AG118=0,"再来年度","")</f>
        <v>再来年度</v>
      </c>
      <c r="BQ118" s="1263" t="str">
        <f>IF($AG118=0,"未定","")</f>
        <v>未定</v>
      </c>
    </row>
    <row r="119" spans="2:69" ht="60" customHeight="1">
      <c r="B119" s="1384"/>
      <c r="C119" s="1596"/>
      <c r="D119" s="1507"/>
      <c r="E119" s="1597"/>
      <c r="F119" s="1394"/>
      <c r="G119" s="1195"/>
      <c r="H119" s="1395"/>
      <c r="I119" s="1398"/>
      <c r="J119" s="1399"/>
      <c r="K119" s="1399"/>
      <c r="L119" s="1399"/>
      <c r="M119" s="1399"/>
      <c r="N119" s="1399"/>
      <c r="O119" s="1399"/>
      <c r="P119" s="1399"/>
      <c r="Q119" s="1399"/>
      <c r="R119" s="1399"/>
      <c r="S119" s="1399"/>
      <c r="T119" s="1400"/>
      <c r="U119" s="1398"/>
      <c r="V119" s="1399"/>
      <c r="W119" s="1399"/>
      <c r="X119" s="1399"/>
      <c r="Y119" s="1399"/>
      <c r="Z119" s="1399"/>
      <c r="AA119" s="1399"/>
      <c r="AB119" s="1399"/>
      <c r="AC119" s="1399"/>
      <c r="AD119" s="1399"/>
      <c r="AE119" s="1399"/>
      <c r="AF119" s="1400"/>
      <c r="AG119" s="1625"/>
      <c r="AH119" s="1619"/>
      <c r="AI119" s="1627"/>
      <c r="AK119" s="1628"/>
      <c r="AL119" s="1629"/>
      <c r="AM119" s="1629"/>
      <c r="AN119" s="1629"/>
      <c r="AO119" s="1629"/>
      <c r="AP119" s="1605"/>
      <c r="AQ119" s="1605"/>
      <c r="AR119" s="1631"/>
      <c r="AS119" s="1220"/>
      <c r="AT119" s="1520"/>
      <c r="AV119" s="1518"/>
      <c r="AW119" s="1277"/>
      <c r="AX119" s="1277"/>
      <c r="AY119" s="1277"/>
      <c r="AZ119" s="1277"/>
      <c r="BA119" s="1263"/>
      <c r="BN119" s="1440"/>
      <c r="BO119" s="1175"/>
      <c r="BP119" s="1175"/>
      <c r="BQ119" s="1264"/>
    </row>
    <row r="120" spans="2:69" ht="31.5" customHeight="1">
      <c r="B120" s="1383">
        <v>35</v>
      </c>
      <c r="C120" s="1596"/>
      <c r="D120" s="1507"/>
      <c r="E120" s="1597"/>
      <c r="F120" s="1202" t="s">
        <v>487</v>
      </c>
      <c r="G120" s="1203"/>
      <c r="H120" s="1204"/>
      <c r="I120" s="1637" t="s">
        <v>758</v>
      </c>
      <c r="J120" s="1638"/>
      <c r="K120" s="1638"/>
      <c r="L120" s="1638"/>
      <c r="M120" s="1638"/>
      <c r="N120" s="1638"/>
      <c r="O120" s="1638"/>
      <c r="P120" s="1638"/>
      <c r="Q120" s="1638"/>
      <c r="R120" s="1638"/>
      <c r="S120" s="1638"/>
      <c r="T120" s="1639"/>
      <c r="U120" s="1637" t="s">
        <v>608</v>
      </c>
      <c r="V120" s="1638"/>
      <c r="W120" s="1638"/>
      <c r="X120" s="1638"/>
      <c r="Y120" s="1638"/>
      <c r="Z120" s="1638"/>
      <c r="AA120" s="1638"/>
      <c r="AB120" s="1638"/>
      <c r="AC120" s="1638"/>
      <c r="AD120" s="1638"/>
      <c r="AE120" s="1638"/>
      <c r="AF120" s="1639"/>
      <c r="AG120" s="1616"/>
      <c r="AH120" s="31" t="s">
        <v>488</v>
      </c>
      <c r="AI120" s="590" t="s">
        <v>501</v>
      </c>
      <c r="AK120" s="1628">
        <v>3</v>
      </c>
      <c r="AL120" s="1629">
        <v>5</v>
      </c>
      <c r="AM120" s="1629">
        <f>IF($AG120="該当無",0,1)</f>
        <v>1</v>
      </c>
      <c r="AN120" s="1629">
        <v>1</v>
      </c>
      <c r="AO120" s="1629"/>
      <c r="AP120" s="1629">
        <f>$AK120*$AM120*$AN120</f>
        <v>3</v>
      </c>
      <c r="AQ120" s="1629">
        <f>$AP120*10/$AT$11</f>
        <v>3</v>
      </c>
      <c r="AR120" s="1631"/>
      <c r="AS120" s="1634">
        <f>IF($AP120=0,0,IF($AG120=-1,$AG120*$AO120,$AG120/$AL120*$AQ120))</f>
        <v>0</v>
      </c>
      <c r="AT120" s="1520"/>
      <c r="AU120" s="591"/>
      <c r="AV120" s="1662">
        <f>IF(SUM($BC120:$BC124)&gt;0,5,0)</f>
        <v>0</v>
      </c>
      <c r="AW120" s="1647">
        <f>IF(SUM($BC120:$BC124)&gt;0,4,0)</f>
        <v>0</v>
      </c>
      <c r="AX120" s="1647">
        <f>IF(SUM($BC120:$BC124)&gt;0,3,0)</f>
        <v>0</v>
      </c>
      <c r="AY120" s="1647">
        <f>IF(SUM($BC120:$BC124)&gt;0,2,0)</f>
        <v>0</v>
      </c>
      <c r="AZ120" s="1647">
        <f>IF(SUM($BC120:$BC124)&gt;0,1,0)</f>
        <v>0</v>
      </c>
      <c r="BA120" s="1647">
        <v>0</v>
      </c>
      <c r="BB120" s="1650">
        <f>IF(OR(AG114=1,AG116=1),"該当無",0)</f>
        <v>0</v>
      </c>
      <c r="BC120" s="592">
        <f t="shared" ref="BC120:BC126" si="29">COUNTIF(AH120,"☑")</f>
        <v>0</v>
      </c>
      <c r="BN120" s="593"/>
      <c r="BO120" s="594"/>
      <c r="BP120" s="594"/>
      <c r="BQ120" s="595"/>
    </row>
    <row r="121" spans="2:69" ht="31.5" customHeight="1">
      <c r="B121" s="1384"/>
      <c r="C121" s="1596"/>
      <c r="D121" s="1507"/>
      <c r="E121" s="1597"/>
      <c r="F121" s="1202"/>
      <c r="G121" s="1203"/>
      <c r="H121" s="1204"/>
      <c r="I121" s="1321"/>
      <c r="J121" s="1322"/>
      <c r="K121" s="1322"/>
      <c r="L121" s="1322"/>
      <c r="M121" s="1322"/>
      <c r="N121" s="1322"/>
      <c r="O121" s="1322"/>
      <c r="P121" s="1322"/>
      <c r="Q121" s="1322"/>
      <c r="R121" s="1322"/>
      <c r="S121" s="1322"/>
      <c r="T121" s="1640"/>
      <c r="U121" s="1321"/>
      <c r="V121" s="1322"/>
      <c r="W121" s="1322"/>
      <c r="X121" s="1322"/>
      <c r="Y121" s="1322"/>
      <c r="Z121" s="1322"/>
      <c r="AA121" s="1322"/>
      <c r="AB121" s="1322"/>
      <c r="AC121" s="1322"/>
      <c r="AD121" s="1322"/>
      <c r="AE121" s="1322"/>
      <c r="AF121" s="1640"/>
      <c r="AG121" s="1625"/>
      <c r="AH121" s="31" t="s">
        <v>488</v>
      </c>
      <c r="AI121" s="590" t="s">
        <v>502</v>
      </c>
      <c r="AK121" s="1644"/>
      <c r="AL121" s="1614"/>
      <c r="AM121" s="1614"/>
      <c r="AN121" s="1614"/>
      <c r="AO121" s="1614"/>
      <c r="AP121" s="1614"/>
      <c r="AQ121" s="1614"/>
      <c r="AR121" s="1632"/>
      <c r="AS121" s="1635"/>
      <c r="AT121" s="1521"/>
      <c r="AU121" s="596"/>
      <c r="AV121" s="1663"/>
      <c r="AW121" s="1648"/>
      <c r="AX121" s="1648"/>
      <c r="AY121" s="1648"/>
      <c r="AZ121" s="1648"/>
      <c r="BA121" s="1648"/>
      <c r="BB121" s="1651"/>
      <c r="BC121" s="592">
        <f t="shared" si="29"/>
        <v>0</v>
      </c>
      <c r="BD121" s="516"/>
      <c r="BE121" s="516"/>
      <c r="BF121" s="516"/>
      <c r="BG121" s="516"/>
      <c r="BH121" s="516"/>
      <c r="BI121" s="516"/>
      <c r="BJ121" s="516"/>
      <c r="BK121" s="516"/>
      <c r="BL121" s="516"/>
      <c r="BM121" s="516"/>
      <c r="BN121" s="597"/>
      <c r="BO121" s="598"/>
      <c r="BP121" s="598"/>
      <c r="BQ121" s="599"/>
    </row>
    <row r="122" spans="2:69" ht="31.5" customHeight="1">
      <c r="B122" s="1384"/>
      <c r="C122" s="1596"/>
      <c r="D122" s="1507"/>
      <c r="E122" s="1597"/>
      <c r="F122" s="1202"/>
      <c r="G122" s="1203"/>
      <c r="H122" s="1204"/>
      <c r="I122" s="1321"/>
      <c r="J122" s="1322"/>
      <c r="K122" s="1322"/>
      <c r="L122" s="1322"/>
      <c r="M122" s="1322"/>
      <c r="N122" s="1322"/>
      <c r="O122" s="1322"/>
      <c r="P122" s="1322"/>
      <c r="Q122" s="1322"/>
      <c r="R122" s="1322"/>
      <c r="S122" s="1322"/>
      <c r="T122" s="1640"/>
      <c r="U122" s="1321"/>
      <c r="V122" s="1322"/>
      <c r="W122" s="1322"/>
      <c r="X122" s="1322"/>
      <c r="Y122" s="1322"/>
      <c r="Z122" s="1322"/>
      <c r="AA122" s="1322"/>
      <c r="AB122" s="1322"/>
      <c r="AC122" s="1322"/>
      <c r="AD122" s="1322"/>
      <c r="AE122" s="1322"/>
      <c r="AF122" s="1640"/>
      <c r="AG122" s="1625"/>
      <c r="AH122" s="31" t="s">
        <v>488</v>
      </c>
      <c r="AI122" s="590" t="s">
        <v>503</v>
      </c>
      <c r="AK122" s="1644"/>
      <c r="AL122" s="1614"/>
      <c r="AM122" s="1614"/>
      <c r="AN122" s="1614"/>
      <c r="AO122" s="1614"/>
      <c r="AP122" s="1614"/>
      <c r="AQ122" s="1614"/>
      <c r="AR122" s="1632"/>
      <c r="AS122" s="1635"/>
      <c r="AT122" s="1521"/>
      <c r="AU122" s="596"/>
      <c r="AV122" s="1663"/>
      <c r="AW122" s="1648"/>
      <c r="AX122" s="1648"/>
      <c r="AY122" s="1648"/>
      <c r="AZ122" s="1648"/>
      <c r="BA122" s="1648"/>
      <c r="BB122" s="1651"/>
      <c r="BC122" s="592">
        <f t="shared" si="29"/>
        <v>0</v>
      </c>
      <c r="BD122" s="516"/>
      <c r="BE122" s="516"/>
      <c r="BF122" s="516"/>
      <c r="BG122" s="516"/>
      <c r="BH122" s="516"/>
      <c r="BI122" s="516"/>
      <c r="BJ122" s="516"/>
      <c r="BK122" s="516"/>
      <c r="BL122" s="516"/>
      <c r="BM122" s="516"/>
      <c r="BN122" s="597"/>
      <c r="BO122" s="598"/>
      <c r="BP122" s="598"/>
      <c r="BQ122" s="599"/>
    </row>
    <row r="123" spans="2:69" ht="31.5" customHeight="1">
      <c r="B123" s="1384"/>
      <c r="C123" s="1596"/>
      <c r="D123" s="1507"/>
      <c r="E123" s="1597"/>
      <c r="F123" s="1202"/>
      <c r="G123" s="1203"/>
      <c r="H123" s="1204"/>
      <c r="I123" s="1321"/>
      <c r="J123" s="1322"/>
      <c r="K123" s="1322"/>
      <c r="L123" s="1322"/>
      <c r="M123" s="1322"/>
      <c r="N123" s="1322"/>
      <c r="O123" s="1322"/>
      <c r="P123" s="1322"/>
      <c r="Q123" s="1322"/>
      <c r="R123" s="1322"/>
      <c r="S123" s="1322"/>
      <c r="T123" s="1640"/>
      <c r="U123" s="1321"/>
      <c r="V123" s="1322"/>
      <c r="W123" s="1322"/>
      <c r="X123" s="1322"/>
      <c r="Y123" s="1322"/>
      <c r="Z123" s="1322"/>
      <c r="AA123" s="1322"/>
      <c r="AB123" s="1322"/>
      <c r="AC123" s="1322"/>
      <c r="AD123" s="1322"/>
      <c r="AE123" s="1322"/>
      <c r="AF123" s="1640"/>
      <c r="AG123" s="1625"/>
      <c r="AH123" s="31" t="s">
        <v>488</v>
      </c>
      <c r="AI123" s="590" t="s">
        <v>504</v>
      </c>
      <c r="AK123" s="1644"/>
      <c r="AL123" s="1614"/>
      <c r="AM123" s="1614">
        <f t="shared" ref="AM123" si="30">IF($AG123="該当無",0,IF(OR($AG$99=0,$AG$99=2),0,1))</f>
        <v>0</v>
      </c>
      <c r="AN123" s="1614"/>
      <c r="AO123" s="1614"/>
      <c r="AP123" s="1614"/>
      <c r="AQ123" s="1614">
        <f t="shared" ref="AQ123" si="31">$AP123*35/$AP$11</f>
        <v>0</v>
      </c>
      <c r="AR123" s="1632"/>
      <c r="AS123" s="1635"/>
      <c r="AT123" s="1521"/>
      <c r="AU123" s="596"/>
      <c r="AV123" s="1663"/>
      <c r="AW123" s="1648"/>
      <c r="AX123" s="1648"/>
      <c r="AY123" s="1648"/>
      <c r="AZ123" s="1648"/>
      <c r="BA123" s="1648"/>
      <c r="BB123" s="1651"/>
      <c r="BC123" s="592">
        <f t="shared" si="29"/>
        <v>0</v>
      </c>
      <c r="BD123" s="516"/>
      <c r="BE123" s="516"/>
      <c r="BF123" s="516"/>
      <c r="BG123" s="516"/>
      <c r="BH123" s="516"/>
      <c r="BI123" s="516"/>
      <c r="BJ123" s="516"/>
      <c r="BK123" s="516"/>
      <c r="BL123" s="516"/>
      <c r="BM123" s="516"/>
      <c r="BN123" s="597"/>
      <c r="BO123" s="598"/>
      <c r="BP123" s="598"/>
      <c r="BQ123" s="599"/>
    </row>
    <row r="124" spans="2:69" ht="31.5" customHeight="1">
      <c r="B124" s="1384"/>
      <c r="C124" s="1596"/>
      <c r="D124" s="1507"/>
      <c r="E124" s="1597"/>
      <c r="F124" s="1202"/>
      <c r="G124" s="1203"/>
      <c r="H124" s="1204"/>
      <c r="I124" s="1321"/>
      <c r="J124" s="1322"/>
      <c r="K124" s="1322"/>
      <c r="L124" s="1322"/>
      <c r="M124" s="1322"/>
      <c r="N124" s="1322"/>
      <c r="O124" s="1322"/>
      <c r="P124" s="1322"/>
      <c r="Q124" s="1322"/>
      <c r="R124" s="1322"/>
      <c r="S124" s="1322"/>
      <c r="T124" s="1640"/>
      <c r="U124" s="1321"/>
      <c r="V124" s="1322"/>
      <c r="W124" s="1322"/>
      <c r="X124" s="1322"/>
      <c r="Y124" s="1322"/>
      <c r="Z124" s="1322"/>
      <c r="AA124" s="1322"/>
      <c r="AB124" s="1322"/>
      <c r="AC124" s="1322"/>
      <c r="AD124" s="1322"/>
      <c r="AE124" s="1322"/>
      <c r="AF124" s="1640"/>
      <c r="AG124" s="1625"/>
      <c r="AH124" s="31" t="s">
        <v>488</v>
      </c>
      <c r="AI124" s="590" t="s">
        <v>505</v>
      </c>
      <c r="AK124" s="1644"/>
      <c r="AL124" s="1614"/>
      <c r="AM124" s="1614"/>
      <c r="AN124" s="1614"/>
      <c r="AO124" s="1614"/>
      <c r="AP124" s="1614"/>
      <c r="AQ124" s="1614"/>
      <c r="AR124" s="1632"/>
      <c r="AS124" s="1635"/>
      <c r="AT124" s="1521"/>
      <c r="AU124" s="596"/>
      <c r="AV124" s="1663"/>
      <c r="AW124" s="1648"/>
      <c r="AX124" s="1648"/>
      <c r="AY124" s="1648"/>
      <c r="AZ124" s="1648"/>
      <c r="BA124" s="1648"/>
      <c r="BB124" s="1651"/>
      <c r="BC124" s="592">
        <f t="shared" si="29"/>
        <v>0</v>
      </c>
      <c r="BD124" s="516"/>
      <c r="BE124" s="516"/>
      <c r="BF124" s="516"/>
      <c r="BG124" s="516"/>
      <c r="BH124" s="516"/>
      <c r="BI124" s="516"/>
      <c r="BJ124" s="516"/>
      <c r="BK124" s="516"/>
      <c r="BL124" s="516"/>
      <c r="BM124" s="516"/>
      <c r="BN124" s="597"/>
      <c r="BO124" s="598"/>
      <c r="BP124" s="598"/>
      <c r="BQ124" s="599"/>
    </row>
    <row r="125" spans="2:69" ht="31.5" customHeight="1">
      <c r="B125" s="1384"/>
      <c r="C125" s="1596"/>
      <c r="D125" s="1507"/>
      <c r="E125" s="1597"/>
      <c r="F125" s="1202"/>
      <c r="G125" s="1203"/>
      <c r="H125" s="1204"/>
      <c r="I125" s="1321"/>
      <c r="J125" s="1322"/>
      <c r="K125" s="1322"/>
      <c r="L125" s="1322"/>
      <c r="M125" s="1322"/>
      <c r="N125" s="1322"/>
      <c r="O125" s="1322"/>
      <c r="P125" s="1322"/>
      <c r="Q125" s="1322"/>
      <c r="R125" s="1322"/>
      <c r="S125" s="1322"/>
      <c r="T125" s="1640"/>
      <c r="U125" s="1321"/>
      <c r="V125" s="1322"/>
      <c r="W125" s="1322"/>
      <c r="X125" s="1322"/>
      <c r="Y125" s="1322"/>
      <c r="Z125" s="1322"/>
      <c r="AA125" s="1322"/>
      <c r="AB125" s="1322"/>
      <c r="AC125" s="1322"/>
      <c r="AD125" s="1322"/>
      <c r="AE125" s="1322"/>
      <c r="AF125" s="1640"/>
      <c r="AG125" s="1625"/>
      <c r="AH125" s="31" t="s">
        <v>488</v>
      </c>
      <c r="AI125" s="600" t="s">
        <v>590</v>
      </c>
      <c r="AK125" s="1644"/>
      <c r="AL125" s="1614"/>
      <c r="AM125" s="1614"/>
      <c r="AN125" s="1614"/>
      <c r="AO125" s="1614"/>
      <c r="AP125" s="1614"/>
      <c r="AQ125" s="1614"/>
      <c r="AR125" s="1632"/>
      <c r="AS125" s="1635"/>
      <c r="AT125" s="1521"/>
      <c r="AU125" s="596"/>
      <c r="AV125" s="1663"/>
      <c r="AW125" s="1648"/>
      <c r="AX125" s="1648"/>
      <c r="AY125" s="1648"/>
      <c r="AZ125" s="1648"/>
      <c r="BA125" s="1648"/>
      <c r="BB125" s="1651"/>
      <c r="BC125" s="592">
        <f t="shared" si="29"/>
        <v>0</v>
      </c>
      <c r="BD125" s="516"/>
      <c r="BE125" s="516"/>
      <c r="BF125" s="516"/>
      <c r="BG125" s="516"/>
      <c r="BH125" s="516"/>
      <c r="BI125" s="516"/>
      <c r="BJ125" s="516"/>
      <c r="BK125" s="516"/>
      <c r="BL125" s="516"/>
      <c r="BM125" s="516"/>
      <c r="BN125" s="597"/>
      <c r="BO125" s="598"/>
      <c r="BP125" s="598"/>
      <c r="BQ125" s="599"/>
    </row>
    <row r="126" spans="2:69" ht="31.5" customHeight="1">
      <c r="B126" s="1384"/>
      <c r="C126" s="1596"/>
      <c r="D126" s="1507"/>
      <c r="E126" s="1597"/>
      <c r="F126" s="1202"/>
      <c r="G126" s="1203"/>
      <c r="H126" s="1204"/>
      <c r="I126" s="1321"/>
      <c r="J126" s="1322"/>
      <c r="K126" s="1322"/>
      <c r="L126" s="1322"/>
      <c r="M126" s="1322"/>
      <c r="N126" s="1322"/>
      <c r="O126" s="1322"/>
      <c r="P126" s="1322"/>
      <c r="Q126" s="1322"/>
      <c r="R126" s="1322"/>
      <c r="S126" s="1322"/>
      <c r="T126" s="1640"/>
      <c r="U126" s="1641"/>
      <c r="V126" s="1642"/>
      <c r="W126" s="1642"/>
      <c r="X126" s="1642"/>
      <c r="Y126" s="1642"/>
      <c r="Z126" s="1642"/>
      <c r="AA126" s="1642"/>
      <c r="AB126" s="1642"/>
      <c r="AC126" s="1642"/>
      <c r="AD126" s="1642"/>
      <c r="AE126" s="1642"/>
      <c r="AF126" s="1643"/>
      <c r="AG126" s="1617"/>
      <c r="AH126" s="31" t="s">
        <v>488</v>
      </c>
      <c r="AI126" s="30" t="s">
        <v>510</v>
      </c>
      <c r="AK126" s="1645"/>
      <c r="AL126" s="1630"/>
      <c r="AM126" s="1630">
        <f t="shared" ref="AM126" si="32">IF($AG126="該当無",0,IF(OR($AG$99=0,$AG$99=2),0,1))</f>
        <v>0</v>
      </c>
      <c r="AN126" s="1630"/>
      <c r="AO126" s="1630"/>
      <c r="AP126" s="1630"/>
      <c r="AQ126" s="1630">
        <f t="shared" ref="AQ126" si="33">$AP126*35/$AP$11</f>
        <v>0</v>
      </c>
      <c r="AR126" s="1633"/>
      <c r="AS126" s="1636"/>
      <c r="AT126" s="1522"/>
      <c r="AU126" s="601"/>
      <c r="AV126" s="1664"/>
      <c r="AW126" s="1649"/>
      <c r="AX126" s="1649"/>
      <c r="AY126" s="1649"/>
      <c r="AZ126" s="1649"/>
      <c r="BA126" s="1649"/>
      <c r="BB126" s="1652"/>
      <c r="BC126" s="592">
        <f t="shared" si="29"/>
        <v>0</v>
      </c>
      <c r="BD126" s="516"/>
      <c r="BE126" s="516"/>
      <c r="BF126" s="516"/>
      <c r="BG126" s="516"/>
      <c r="BH126" s="516"/>
      <c r="BI126" s="516"/>
      <c r="BJ126" s="516"/>
      <c r="BK126" s="516"/>
      <c r="BL126" s="516"/>
      <c r="BM126" s="516"/>
      <c r="BN126" s="602"/>
      <c r="BO126" s="603"/>
      <c r="BP126" s="603"/>
      <c r="BQ126" s="604"/>
    </row>
    <row r="127" spans="2:69" ht="24.95" customHeight="1">
      <c r="B127" s="1190">
        <v>36</v>
      </c>
      <c r="C127" s="1596"/>
      <c r="D127" s="1507"/>
      <c r="E127" s="1597"/>
      <c r="F127" s="1202" t="s">
        <v>491</v>
      </c>
      <c r="G127" s="1203"/>
      <c r="H127" s="1204"/>
      <c r="I127" s="1250" t="s">
        <v>694</v>
      </c>
      <c r="J127" s="1251"/>
      <c r="K127" s="1251"/>
      <c r="L127" s="1251"/>
      <c r="M127" s="1251"/>
      <c r="N127" s="1251"/>
      <c r="O127" s="1251"/>
      <c r="P127" s="1251"/>
      <c r="Q127" s="1251"/>
      <c r="R127" s="1251"/>
      <c r="S127" s="1251"/>
      <c r="T127" s="1252"/>
      <c r="U127" s="1656" t="s">
        <v>509</v>
      </c>
      <c r="V127" s="1656"/>
      <c r="W127" s="1656"/>
      <c r="X127" s="1656"/>
      <c r="Y127" s="1656"/>
      <c r="Z127" s="1656"/>
      <c r="AA127" s="1656"/>
      <c r="AB127" s="1656"/>
      <c r="AC127" s="1656"/>
      <c r="AD127" s="1656"/>
      <c r="AE127" s="1656"/>
      <c r="AF127" s="1656"/>
      <c r="AG127" s="1602"/>
      <c r="AH127" s="1618"/>
      <c r="AI127" s="1622"/>
      <c r="AK127" s="1604">
        <v>1</v>
      </c>
      <c r="AL127" s="1605">
        <v>1</v>
      </c>
      <c r="AM127" s="1605">
        <f>IF($AG127="該当無",0,1)</f>
        <v>1</v>
      </c>
      <c r="AN127" s="1605">
        <v>1</v>
      </c>
      <c r="AO127" s="1605"/>
      <c r="AP127" s="1605">
        <f>$AK127*$AM127*$AN127</f>
        <v>1</v>
      </c>
      <c r="AQ127" s="1605">
        <f>$AP127*10/$AT$11</f>
        <v>1</v>
      </c>
      <c r="AR127" s="1620"/>
      <c r="AS127" s="1220">
        <f>IF($AP127=0,0,IF($AG127=-1,$AG127*$AO127,$AG127/$AL127*$AQ127))</f>
        <v>0</v>
      </c>
      <c r="AT127" s="1621"/>
      <c r="AV127" s="1440">
        <v>1</v>
      </c>
      <c r="AW127" s="1175">
        <v>0</v>
      </c>
      <c r="AX127" s="1175"/>
      <c r="AY127" s="1175"/>
      <c r="AZ127" s="1278"/>
      <c r="BA127" s="1264"/>
      <c r="BN127" s="1518" t="str">
        <f>IF($AG127=0,"今年度","")</f>
        <v>今年度</v>
      </c>
      <c r="BO127" s="1277" t="str">
        <f>IF($AG127=0,"来年度","")</f>
        <v>来年度</v>
      </c>
      <c r="BP127" s="1277" t="str">
        <f>IF($AG127=0,"再来年度","")</f>
        <v>再来年度</v>
      </c>
      <c r="BQ127" s="1263" t="str">
        <f>IF($AG127=0,"未定","")</f>
        <v>未定</v>
      </c>
    </row>
    <row r="128" spans="2:69" ht="24.95" customHeight="1">
      <c r="B128" s="1289"/>
      <c r="C128" s="1598"/>
      <c r="D128" s="1537"/>
      <c r="E128" s="1599"/>
      <c r="F128" s="1406"/>
      <c r="G128" s="1407"/>
      <c r="H128" s="1408"/>
      <c r="I128" s="1653"/>
      <c r="J128" s="1654"/>
      <c r="K128" s="1654"/>
      <c r="L128" s="1654"/>
      <c r="M128" s="1654"/>
      <c r="N128" s="1654"/>
      <c r="O128" s="1654"/>
      <c r="P128" s="1654"/>
      <c r="Q128" s="1654"/>
      <c r="R128" s="1654"/>
      <c r="S128" s="1654"/>
      <c r="T128" s="1655"/>
      <c r="U128" s="1657"/>
      <c r="V128" s="1657"/>
      <c r="W128" s="1657"/>
      <c r="X128" s="1657"/>
      <c r="Y128" s="1657"/>
      <c r="Z128" s="1657"/>
      <c r="AA128" s="1657"/>
      <c r="AB128" s="1657"/>
      <c r="AC128" s="1657"/>
      <c r="AD128" s="1657"/>
      <c r="AE128" s="1657"/>
      <c r="AF128" s="1657"/>
      <c r="AG128" s="1658"/>
      <c r="AH128" s="1659"/>
      <c r="AI128" s="1660"/>
      <c r="AK128" s="1661"/>
      <c r="AL128" s="1646"/>
      <c r="AM128" s="1646"/>
      <c r="AN128" s="1646"/>
      <c r="AO128" s="1646"/>
      <c r="AP128" s="1646"/>
      <c r="AQ128" s="1646"/>
      <c r="AR128" s="1665"/>
      <c r="AS128" s="1287"/>
      <c r="AT128" s="1666"/>
      <c r="AV128" s="1442"/>
      <c r="AW128" s="1281"/>
      <c r="AX128" s="1281"/>
      <c r="AY128" s="1281"/>
      <c r="AZ128" s="1377"/>
      <c r="BA128" s="1309"/>
      <c r="BE128" s="521"/>
      <c r="BF128" s="521"/>
      <c r="BG128" s="521"/>
      <c r="BH128" s="521"/>
      <c r="BI128" s="521"/>
      <c r="BJ128" s="521"/>
      <c r="BK128" s="521"/>
      <c r="BL128" s="521"/>
      <c r="BM128" s="605"/>
      <c r="BN128" s="1440"/>
      <c r="BO128" s="1175"/>
      <c r="BP128" s="1175"/>
      <c r="BQ128" s="1264"/>
    </row>
    <row r="129" spans="44:64" ht="13.5" customHeight="1">
      <c r="AR129" s="606"/>
      <c r="BB129" s="607"/>
      <c r="BC129" s="582" t="s">
        <v>16</v>
      </c>
      <c r="BD129" s="582" t="s">
        <v>15</v>
      </c>
      <c r="BE129" s="582" t="s">
        <v>17</v>
      </c>
      <c r="BF129" s="582" t="s">
        <v>18</v>
      </c>
      <c r="BG129" s="582" t="s">
        <v>19</v>
      </c>
      <c r="BH129" s="582" t="s">
        <v>20</v>
      </c>
      <c r="BI129" s="582" t="s">
        <v>21</v>
      </c>
      <c r="BJ129" s="582" t="s">
        <v>22</v>
      </c>
      <c r="BK129" s="582" t="s">
        <v>24</v>
      </c>
      <c r="BL129" s="582" t="s">
        <v>23</v>
      </c>
    </row>
    <row r="130" spans="44:64" ht="35.25" customHeight="1">
      <c r="AR130" s="606"/>
      <c r="BB130" s="608" t="s">
        <v>614</v>
      </c>
      <c r="BC130" s="582">
        <v>6</v>
      </c>
      <c r="BD130" s="609">
        <f>COUNTIF($AG$111:$AG$128,"該当無")</f>
        <v>0</v>
      </c>
      <c r="BE130" s="545">
        <f>BC130-BD130</f>
        <v>6</v>
      </c>
      <c r="BF130" s="545">
        <f>COUNTIF($AG$111:$AG$128,"&gt;0")</f>
        <v>0</v>
      </c>
      <c r="BG130" s="545">
        <f>COUNTIF($AG$111:$AG$128,"0")</f>
        <v>0</v>
      </c>
      <c r="BH130" s="545">
        <f>BG130-BL130</f>
        <v>0</v>
      </c>
      <c r="BI130" s="545">
        <f>COUNTIF($AH$111:$AH$128,BI129)</f>
        <v>0</v>
      </c>
      <c r="BJ130" s="545">
        <f>COUNTIF($AH$111:$AH$128,BJ129)</f>
        <v>0</v>
      </c>
      <c r="BK130" s="545">
        <f>COUNTIF($AH$111:$AH$128,BK129)</f>
        <v>0</v>
      </c>
      <c r="BL130" s="545">
        <f>COUNTIF($AH$111:$AH$128,BL129)</f>
        <v>0</v>
      </c>
    </row>
    <row r="131" spans="44:64" ht="13.5" customHeight="1">
      <c r="AR131" s="606"/>
    </row>
  </sheetData>
  <sheetProtection algorithmName="SHA-512" hashValue="Ebion1zV6U531genoS+UPOk/9yS2CfqvdSsS5yn2hcfm7RCsQN2gcHI+LIx8JXCdgWS0K+fDtw6ktjx8aJgBIA==" saltValue="HKbMg5avbbvAOOsLFFTJnw==" spinCount="100000" sheet="1" objects="1" scenarios="1" formatRows="0" selectLockedCells="1"/>
  <mergeCells count="985">
    <mergeCell ref="BQ127:BQ128"/>
    <mergeCell ref="AY127:AY128"/>
    <mergeCell ref="AZ127:AZ128"/>
    <mergeCell ref="BA127:BA128"/>
    <mergeCell ref="BN127:BN128"/>
    <mergeCell ref="BO127:BO128"/>
    <mergeCell ref="BP127:BP128"/>
    <mergeCell ref="AR127:AR128"/>
    <mergeCell ref="AS127:AS128"/>
    <mergeCell ref="AT127:AT128"/>
    <mergeCell ref="AV127:AV128"/>
    <mergeCell ref="AW127:AW128"/>
    <mergeCell ref="AX127:AX128"/>
    <mergeCell ref="AL127:AL128"/>
    <mergeCell ref="AM127:AM128"/>
    <mergeCell ref="AN127:AN128"/>
    <mergeCell ref="AO127:AO128"/>
    <mergeCell ref="AP127:AP128"/>
    <mergeCell ref="AQ127:AQ128"/>
    <mergeCell ref="BA120:BA126"/>
    <mergeCell ref="BB120:BB126"/>
    <mergeCell ref="B127:B128"/>
    <mergeCell ref="F127:H128"/>
    <mergeCell ref="I127:T128"/>
    <mergeCell ref="U127:AF128"/>
    <mergeCell ref="AG127:AG128"/>
    <mergeCell ref="AH127:AH128"/>
    <mergeCell ref="AI127:AI128"/>
    <mergeCell ref="AK127:AK128"/>
    <mergeCell ref="AT120:AT126"/>
    <mergeCell ref="AV120:AV126"/>
    <mergeCell ref="AW120:AW126"/>
    <mergeCell ref="AX120:AX126"/>
    <mergeCell ref="AY120:AY126"/>
    <mergeCell ref="AZ120:AZ126"/>
    <mergeCell ref="AN120:AN126"/>
    <mergeCell ref="AO120:AO126"/>
    <mergeCell ref="AP120:AP126"/>
    <mergeCell ref="AQ120:AQ126"/>
    <mergeCell ref="AR120:AR126"/>
    <mergeCell ref="AS120:AS126"/>
    <mergeCell ref="BP118:BP119"/>
    <mergeCell ref="BQ118:BQ119"/>
    <mergeCell ref="B120:B126"/>
    <mergeCell ref="F120:H126"/>
    <mergeCell ref="I120:T126"/>
    <mergeCell ref="U120:AF126"/>
    <mergeCell ref="AG120:AG126"/>
    <mergeCell ref="AK120:AK126"/>
    <mergeCell ref="AL120:AL126"/>
    <mergeCell ref="AM120:AM126"/>
    <mergeCell ref="AX118:AX119"/>
    <mergeCell ref="AY118:AY119"/>
    <mergeCell ref="AZ118:AZ119"/>
    <mergeCell ref="BA118:BA119"/>
    <mergeCell ref="BN118:BN119"/>
    <mergeCell ref="BO118:BO119"/>
    <mergeCell ref="AQ118:AQ119"/>
    <mergeCell ref="AR118:AR119"/>
    <mergeCell ref="AS118:AS119"/>
    <mergeCell ref="AT118:AT119"/>
    <mergeCell ref="AV118:AV119"/>
    <mergeCell ref="AW118:AW119"/>
    <mergeCell ref="AK118:AK119"/>
    <mergeCell ref="AL118:AL119"/>
    <mergeCell ref="AM118:AM119"/>
    <mergeCell ref="AN118:AN119"/>
    <mergeCell ref="AO118:AO119"/>
    <mergeCell ref="AP118:AP119"/>
    <mergeCell ref="BO116:BO117"/>
    <mergeCell ref="AM116:AM117"/>
    <mergeCell ref="AN116:AN117"/>
    <mergeCell ref="AO116:AO117"/>
    <mergeCell ref="BP116:BP117"/>
    <mergeCell ref="BQ116:BQ117"/>
    <mergeCell ref="B118:B119"/>
    <mergeCell ref="F118:H119"/>
    <mergeCell ref="I118:T119"/>
    <mergeCell ref="U118:AF119"/>
    <mergeCell ref="AG118:AG119"/>
    <mergeCell ref="AH118:AH119"/>
    <mergeCell ref="AI118:AI119"/>
    <mergeCell ref="AW116:AW117"/>
    <mergeCell ref="AX116:AX117"/>
    <mergeCell ref="AY116:AY117"/>
    <mergeCell ref="AZ116:AZ117"/>
    <mergeCell ref="BA116:BA117"/>
    <mergeCell ref="BN116:BN117"/>
    <mergeCell ref="AP116:AP117"/>
    <mergeCell ref="AQ116:AQ117"/>
    <mergeCell ref="AR116:AR117"/>
    <mergeCell ref="AS116:AS117"/>
    <mergeCell ref="AT116:AT117"/>
    <mergeCell ref="AV116:AV117"/>
    <mergeCell ref="AI116:AI117"/>
    <mergeCell ref="AK116:AK117"/>
    <mergeCell ref="AL116:AL117"/>
    <mergeCell ref="B116:B117"/>
    <mergeCell ref="F116:H117"/>
    <mergeCell ref="I116:T117"/>
    <mergeCell ref="U116:AF117"/>
    <mergeCell ref="AG116:AG117"/>
    <mergeCell ref="AH116:AH117"/>
    <mergeCell ref="AV114:AV115"/>
    <mergeCell ref="AW114:AW115"/>
    <mergeCell ref="AX114:AX115"/>
    <mergeCell ref="AO114:AO115"/>
    <mergeCell ref="AP114:AP115"/>
    <mergeCell ref="AQ114:AQ115"/>
    <mergeCell ref="AR114:AR115"/>
    <mergeCell ref="AS114:AS115"/>
    <mergeCell ref="AT114:AT115"/>
    <mergeCell ref="AH114:AH115"/>
    <mergeCell ref="AI114:AI115"/>
    <mergeCell ref="I114:T115"/>
    <mergeCell ref="U114:AF115"/>
    <mergeCell ref="AG114:AG115"/>
    <mergeCell ref="AN114:AN115"/>
    <mergeCell ref="BA111:BA113"/>
    <mergeCell ref="BN111:BN113"/>
    <mergeCell ref="BO111:BO113"/>
    <mergeCell ref="BP111:BP113"/>
    <mergeCell ref="BQ111:BQ113"/>
    <mergeCell ref="AY111:AY113"/>
    <mergeCell ref="AZ111:AZ113"/>
    <mergeCell ref="BN114:BN115"/>
    <mergeCell ref="BO114:BO115"/>
    <mergeCell ref="BP114:BP115"/>
    <mergeCell ref="BQ114:BQ115"/>
    <mergeCell ref="AY114:AY115"/>
    <mergeCell ref="AZ114:AZ115"/>
    <mergeCell ref="BA114:BA115"/>
    <mergeCell ref="AT111:AT113"/>
    <mergeCell ref="AV111:AV113"/>
    <mergeCell ref="AW111:AW113"/>
    <mergeCell ref="AX111:AX113"/>
    <mergeCell ref="AN111:AN113"/>
    <mergeCell ref="AO111:AO113"/>
    <mergeCell ref="AP111:AP113"/>
    <mergeCell ref="AQ111:AQ113"/>
    <mergeCell ref="AR111:AR113"/>
    <mergeCell ref="AS111:AS113"/>
    <mergeCell ref="AG111:AG113"/>
    <mergeCell ref="AH111:AH113"/>
    <mergeCell ref="AI111:AI113"/>
    <mergeCell ref="AK111:AK113"/>
    <mergeCell ref="AL111:AL113"/>
    <mergeCell ref="AM111:AM113"/>
    <mergeCell ref="AK114:AK115"/>
    <mergeCell ref="AL114:AL115"/>
    <mergeCell ref="AM114:AM115"/>
    <mergeCell ref="AZ107:AZ109"/>
    <mergeCell ref="BN107:BN109"/>
    <mergeCell ref="BO107:BO109"/>
    <mergeCell ref="BP107:BP109"/>
    <mergeCell ref="BQ107:BQ109"/>
    <mergeCell ref="B111:B113"/>
    <mergeCell ref="C111:E128"/>
    <mergeCell ref="F111:H113"/>
    <mergeCell ref="I111:T113"/>
    <mergeCell ref="U111:AF113"/>
    <mergeCell ref="AS107:AS109"/>
    <mergeCell ref="AT107:AT109"/>
    <mergeCell ref="AV107:AV109"/>
    <mergeCell ref="AW107:AW109"/>
    <mergeCell ref="AX107:AX109"/>
    <mergeCell ref="AY107:AY109"/>
    <mergeCell ref="AM107:AM109"/>
    <mergeCell ref="AN107:AN109"/>
    <mergeCell ref="AO107:AO109"/>
    <mergeCell ref="AP107:AP109"/>
    <mergeCell ref="AQ107:AQ109"/>
    <mergeCell ref="AR107:AR109"/>
    <mergeCell ref="B114:B115"/>
    <mergeCell ref="F114:H115"/>
    <mergeCell ref="AZ104:AZ106"/>
    <mergeCell ref="BN104:BN106"/>
    <mergeCell ref="BO104:BO106"/>
    <mergeCell ref="BP104:BP106"/>
    <mergeCell ref="AQ104:AQ106"/>
    <mergeCell ref="AR104:AR106"/>
    <mergeCell ref="AS104:AS106"/>
    <mergeCell ref="AT104:AT106"/>
    <mergeCell ref="AV104:AV106"/>
    <mergeCell ref="AW104:AW106"/>
    <mergeCell ref="AP104:AP106"/>
    <mergeCell ref="BO101:BO103"/>
    <mergeCell ref="BP101:BP103"/>
    <mergeCell ref="BQ101:BQ103"/>
    <mergeCell ref="B104:B106"/>
    <mergeCell ref="F104:H106"/>
    <mergeCell ref="I104:T106"/>
    <mergeCell ref="U104:AF106"/>
    <mergeCell ref="AG104:AG106"/>
    <mergeCell ref="AH104:AH106"/>
    <mergeCell ref="AI104:AI106"/>
    <mergeCell ref="AV101:AV103"/>
    <mergeCell ref="AW101:AW103"/>
    <mergeCell ref="AX101:AX103"/>
    <mergeCell ref="AY101:AY103"/>
    <mergeCell ref="AZ101:AZ103"/>
    <mergeCell ref="BN101:BN103"/>
    <mergeCell ref="AO101:AO103"/>
    <mergeCell ref="AP101:AP103"/>
    <mergeCell ref="AQ101:AQ103"/>
    <mergeCell ref="AR101:AR103"/>
    <mergeCell ref="BQ104:BQ106"/>
    <mergeCell ref="AX104:AX106"/>
    <mergeCell ref="AY104:AY106"/>
    <mergeCell ref="B101:B103"/>
    <mergeCell ref="C101:E109"/>
    <mergeCell ref="F101:H103"/>
    <mergeCell ref="I101:T103"/>
    <mergeCell ref="U101:AF103"/>
    <mergeCell ref="AG101:AG103"/>
    <mergeCell ref="AM104:AM106"/>
    <mergeCell ref="AN104:AN106"/>
    <mergeCell ref="AO104:AO106"/>
    <mergeCell ref="B107:B109"/>
    <mergeCell ref="F107:H109"/>
    <mergeCell ref="I107:T109"/>
    <mergeCell ref="U107:AF109"/>
    <mergeCell ref="AG107:AG109"/>
    <mergeCell ref="AH107:AH109"/>
    <mergeCell ref="AI107:AI109"/>
    <mergeCell ref="AK107:AK109"/>
    <mergeCell ref="AL107:AL109"/>
    <mergeCell ref="AK104:AK106"/>
    <mergeCell ref="AL104:AL106"/>
    <mergeCell ref="AR97:AR99"/>
    <mergeCell ref="AS97:AS99"/>
    <mergeCell ref="AT97:AT99"/>
    <mergeCell ref="AV97:AV99"/>
    <mergeCell ref="AW97:AW99"/>
    <mergeCell ref="AX97:AX99"/>
    <mergeCell ref="AS101:AS103"/>
    <mergeCell ref="AT101:AT103"/>
    <mergeCell ref="AH101:AH103"/>
    <mergeCell ref="AI101:AI103"/>
    <mergeCell ref="AK101:AK103"/>
    <mergeCell ref="AL101:AL103"/>
    <mergeCell ref="AM101:AM103"/>
    <mergeCell ref="AN101:AN103"/>
    <mergeCell ref="BP94:BP96"/>
    <mergeCell ref="BQ94:BQ96"/>
    <mergeCell ref="B97:B99"/>
    <mergeCell ref="F97:H99"/>
    <mergeCell ref="I97:T99"/>
    <mergeCell ref="U97:AF99"/>
    <mergeCell ref="AG97:AG99"/>
    <mergeCell ref="AH97:AH99"/>
    <mergeCell ref="AI97:AI99"/>
    <mergeCell ref="AK97:AK99"/>
    <mergeCell ref="AW94:AW96"/>
    <mergeCell ref="AX94:AX96"/>
    <mergeCell ref="AY94:AY96"/>
    <mergeCell ref="AZ94:AZ96"/>
    <mergeCell ref="BN94:BN96"/>
    <mergeCell ref="BO94:BO96"/>
    <mergeCell ref="AP94:AP96"/>
    <mergeCell ref="AQ94:AQ96"/>
    <mergeCell ref="AY97:AY99"/>
    <mergeCell ref="AZ97:AZ99"/>
    <mergeCell ref="BN97:BN99"/>
    <mergeCell ref="BO97:BO99"/>
    <mergeCell ref="BP97:BP99"/>
    <mergeCell ref="BQ97:BQ99"/>
    <mergeCell ref="AM94:AM96"/>
    <mergeCell ref="AN94:AN96"/>
    <mergeCell ref="AO94:AO96"/>
    <mergeCell ref="AL97:AL99"/>
    <mergeCell ref="AM97:AM99"/>
    <mergeCell ref="AN97:AN99"/>
    <mergeCell ref="AO97:AO99"/>
    <mergeCell ref="AP97:AP99"/>
    <mergeCell ref="AQ97:AQ99"/>
    <mergeCell ref="B94:B96"/>
    <mergeCell ref="C94:E99"/>
    <mergeCell ref="F94:H96"/>
    <mergeCell ref="I94:T96"/>
    <mergeCell ref="U94:AF96"/>
    <mergeCell ref="AG94:AG96"/>
    <mergeCell ref="AH94:AH96"/>
    <mergeCell ref="AV90:AV92"/>
    <mergeCell ref="AW90:AW92"/>
    <mergeCell ref="AO90:AO92"/>
    <mergeCell ref="AP90:AP92"/>
    <mergeCell ref="AQ90:AQ92"/>
    <mergeCell ref="AR90:AR92"/>
    <mergeCell ref="AS90:AS92"/>
    <mergeCell ref="AT90:AT92"/>
    <mergeCell ref="AH90:AH92"/>
    <mergeCell ref="AI90:AI92"/>
    <mergeCell ref="AR94:AR96"/>
    <mergeCell ref="AS94:AS96"/>
    <mergeCell ref="AT94:AT96"/>
    <mergeCell ref="AV94:AV96"/>
    <mergeCell ref="AI94:AI96"/>
    <mergeCell ref="AK94:AK96"/>
    <mergeCell ref="AL94:AL96"/>
    <mergeCell ref="AZ87:AZ89"/>
    <mergeCell ref="BN87:BN89"/>
    <mergeCell ref="BO87:BO89"/>
    <mergeCell ref="BP87:BP89"/>
    <mergeCell ref="BQ87:BQ89"/>
    <mergeCell ref="AX87:AX89"/>
    <mergeCell ref="AY87:AY89"/>
    <mergeCell ref="BO90:BO92"/>
    <mergeCell ref="BP90:BP92"/>
    <mergeCell ref="BQ90:BQ92"/>
    <mergeCell ref="AX90:AX92"/>
    <mergeCell ref="AY90:AY92"/>
    <mergeCell ref="AZ90:AZ92"/>
    <mergeCell ref="BN90:BN92"/>
    <mergeCell ref="B90:B92"/>
    <mergeCell ref="F90:H92"/>
    <mergeCell ref="I90:T92"/>
    <mergeCell ref="U90:AF92"/>
    <mergeCell ref="AG90:AG92"/>
    <mergeCell ref="AS87:AS89"/>
    <mergeCell ref="AT87:AT89"/>
    <mergeCell ref="AV87:AV89"/>
    <mergeCell ref="AW87:AW89"/>
    <mergeCell ref="AM87:AM89"/>
    <mergeCell ref="AN87:AN89"/>
    <mergeCell ref="AO87:AO89"/>
    <mergeCell ref="AP87:AP89"/>
    <mergeCell ref="AQ87:AQ89"/>
    <mergeCell ref="AR87:AR89"/>
    <mergeCell ref="AK90:AK92"/>
    <mergeCell ref="AL90:AL92"/>
    <mergeCell ref="AM90:AM92"/>
    <mergeCell ref="AN90:AN92"/>
    <mergeCell ref="BQ84:BQ86"/>
    <mergeCell ref="B87:B89"/>
    <mergeCell ref="F87:H89"/>
    <mergeCell ref="I87:T89"/>
    <mergeCell ref="U87:AF89"/>
    <mergeCell ref="AG87:AG89"/>
    <mergeCell ref="AH87:AH89"/>
    <mergeCell ref="AI87:AI89"/>
    <mergeCell ref="AK87:AK89"/>
    <mergeCell ref="AL87:AL89"/>
    <mergeCell ref="AX84:AX86"/>
    <mergeCell ref="AY84:AY86"/>
    <mergeCell ref="AZ84:AZ86"/>
    <mergeCell ref="BN84:BN86"/>
    <mergeCell ref="BO84:BO86"/>
    <mergeCell ref="BP84:BP86"/>
    <mergeCell ref="AQ84:AQ86"/>
    <mergeCell ref="AR84:AR86"/>
    <mergeCell ref="AS84:AS86"/>
    <mergeCell ref="AT84:AT86"/>
    <mergeCell ref="AV84:AV86"/>
    <mergeCell ref="AW84:AW86"/>
    <mergeCell ref="AK84:AK86"/>
    <mergeCell ref="AL84:AL86"/>
    <mergeCell ref="AM84:AM86"/>
    <mergeCell ref="AN84:AN86"/>
    <mergeCell ref="AO84:AO86"/>
    <mergeCell ref="AP84:AP86"/>
    <mergeCell ref="B84:B86"/>
    <mergeCell ref="I84:T86"/>
    <mergeCell ref="U84:AF86"/>
    <mergeCell ref="AG84:AG86"/>
    <mergeCell ref="AH84:AH86"/>
    <mergeCell ref="AI84:AI86"/>
    <mergeCell ref="AY81:AY83"/>
    <mergeCell ref="AZ81:AZ83"/>
    <mergeCell ref="BN81:BN83"/>
    <mergeCell ref="BO81:BO83"/>
    <mergeCell ref="BP81:BP83"/>
    <mergeCell ref="BQ81:BQ83"/>
    <mergeCell ref="AR81:AR83"/>
    <mergeCell ref="AS81:AS83"/>
    <mergeCell ref="AT81:AT83"/>
    <mergeCell ref="AV81:AV83"/>
    <mergeCell ref="AW81:AW83"/>
    <mergeCell ref="AX81:AX83"/>
    <mergeCell ref="AL81:AL83"/>
    <mergeCell ref="AM81:AM83"/>
    <mergeCell ref="AN81:AN83"/>
    <mergeCell ref="AO81:AO83"/>
    <mergeCell ref="AP81:AP83"/>
    <mergeCell ref="AQ81:AQ83"/>
    <mergeCell ref="BQ78:BQ80"/>
    <mergeCell ref="B81:B83"/>
    <mergeCell ref="C81:E92"/>
    <mergeCell ref="F81:H86"/>
    <mergeCell ref="I81:T83"/>
    <mergeCell ref="U81:AF83"/>
    <mergeCell ref="AG81:AG83"/>
    <mergeCell ref="AH81:AH83"/>
    <mergeCell ref="AI81:AI83"/>
    <mergeCell ref="AK81:AK83"/>
    <mergeCell ref="AX78:AX80"/>
    <mergeCell ref="AY78:AY80"/>
    <mergeCell ref="AZ78:AZ80"/>
    <mergeCell ref="BN78:BN80"/>
    <mergeCell ref="BO78:BO80"/>
    <mergeCell ref="BP78:BP80"/>
    <mergeCell ref="AQ78:AQ80"/>
    <mergeCell ref="AR78:AR80"/>
    <mergeCell ref="AS78:AS80"/>
    <mergeCell ref="AT78:AT80"/>
    <mergeCell ref="AV78:AV80"/>
    <mergeCell ref="AW78:AW80"/>
    <mergeCell ref="AK78:AK80"/>
    <mergeCell ref="AL78:AL80"/>
    <mergeCell ref="AM78:AM80"/>
    <mergeCell ref="AN78:AN80"/>
    <mergeCell ref="AO78:AO80"/>
    <mergeCell ref="AP78:AP80"/>
    <mergeCell ref="BO75:BO77"/>
    <mergeCell ref="BP75:BP77"/>
    <mergeCell ref="BQ75:BQ77"/>
    <mergeCell ref="B78:B80"/>
    <mergeCell ref="F78:H80"/>
    <mergeCell ref="I78:T80"/>
    <mergeCell ref="U78:AF80"/>
    <mergeCell ref="AG78:AG80"/>
    <mergeCell ref="AH78:AH80"/>
    <mergeCell ref="AI78:AI80"/>
    <mergeCell ref="AV75:AV77"/>
    <mergeCell ref="AW75:AW77"/>
    <mergeCell ref="AX75:AX77"/>
    <mergeCell ref="AY75:AY77"/>
    <mergeCell ref="AZ75:AZ77"/>
    <mergeCell ref="BN75:BN77"/>
    <mergeCell ref="AO75:AO77"/>
    <mergeCell ref="AP75:AP77"/>
    <mergeCell ref="AQ75:AQ77"/>
    <mergeCell ref="AR75:AR77"/>
    <mergeCell ref="AS75:AS77"/>
    <mergeCell ref="AT75:AT77"/>
    <mergeCell ref="AH75:AH77"/>
    <mergeCell ref="AI75:AI77"/>
    <mergeCell ref="AK75:AK77"/>
    <mergeCell ref="AL75:AL77"/>
    <mergeCell ref="AM75:AM77"/>
    <mergeCell ref="AN75:AN77"/>
    <mergeCell ref="B75:B77"/>
    <mergeCell ref="C75:E80"/>
    <mergeCell ref="F75:H77"/>
    <mergeCell ref="I75:T77"/>
    <mergeCell ref="U75:AF77"/>
    <mergeCell ref="AG75:AG77"/>
    <mergeCell ref="AY72:AY74"/>
    <mergeCell ref="AZ72:AZ74"/>
    <mergeCell ref="BN72:BN74"/>
    <mergeCell ref="BO72:BO74"/>
    <mergeCell ref="BP72:BP74"/>
    <mergeCell ref="BQ72:BQ74"/>
    <mergeCell ref="AR72:AR74"/>
    <mergeCell ref="AS72:AS74"/>
    <mergeCell ref="AT72:AT74"/>
    <mergeCell ref="AV72:AV74"/>
    <mergeCell ref="AW72:AW74"/>
    <mergeCell ref="AX72:AX74"/>
    <mergeCell ref="AL72:AL74"/>
    <mergeCell ref="AM72:AM74"/>
    <mergeCell ref="AN72:AN74"/>
    <mergeCell ref="AO72:AO74"/>
    <mergeCell ref="AP72:AP74"/>
    <mergeCell ref="AQ72:AQ74"/>
    <mergeCell ref="BP69:BP71"/>
    <mergeCell ref="BQ69:BQ71"/>
    <mergeCell ref="B72:B74"/>
    <mergeCell ref="F72:H74"/>
    <mergeCell ref="I72:T74"/>
    <mergeCell ref="U72:AF74"/>
    <mergeCell ref="AG72:AG74"/>
    <mergeCell ref="AH72:AH74"/>
    <mergeCell ref="AI72:AI74"/>
    <mergeCell ref="AK72:AK74"/>
    <mergeCell ref="AW69:AW71"/>
    <mergeCell ref="AX69:AX71"/>
    <mergeCell ref="AY69:AY71"/>
    <mergeCell ref="AZ69:AZ71"/>
    <mergeCell ref="BN69:BN71"/>
    <mergeCell ref="BO69:BO71"/>
    <mergeCell ref="AP69:AP71"/>
    <mergeCell ref="AQ69:AQ71"/>
    <mergeCell ref="AG66:AG68"/>
    <mergeCell ref="AH66:AH68"/>
    <mergeCell ref="AR69:AR71"/>
    <mergeCell ref="AS69:AS71"/>
    <mergeCell ref="AT69:AT71"/>
    <mergeCell ref="AV69:AV71"/>
    <mergeCell ref="AI69:AI71"/>
    <mergeCell ref="AK69:AK71"/>
    <mergeCell ref="AL69:AL71"/>
    <mergeCell ref="AM69:AM71"/>
    <mergeCell ref="AN69:AN71"/>
    <mergeCell ref="AO69:AO71"/>
    <mergeCell ref="AH69:AH71"/>
    <mergeCell ref="AT66:AT68"/>
    <mergeCell ref="AV66:AV68"/>
    <mergeCell ref="AW66:AW68"/>
    <mergeCell ref="AX66:AX68"/>
    <mergeCell ref="AY66:AY68"/>
    <mergeCell ref="AZ66:AZ68"/>
    <mergeCell ref="AN66:AN68"/>
    <mergeCell ref="AO66:AO68"/>
    <mergeCell ref="AP66:AP68"/>
    <mergeCell ref="AQ66:AQ68"/>
    <mergeCell ref="AR66:AR68"/>
    <mergeCell ref="AS66:AS68"/>
    <mergeCell ref="AZ62:AZ64"/>
    <mergeCell ref="BN62:BN64"/>
    <mergeCell ref="BO62:BO64"/>
    <mergeCell ref="BP62:BP64"/>
    <mergeCell ref="BQ62:BQ64"/>
    <mergeCell ref="AX62:AX64"/>
    <mergeCell ref="AY62:AY64"/>
    <mergeCell ref="BN66:BN68"/>
    <mergeCell ref="BO66:BO68"/>
    <mergeCell ref="BP66:BP68"/>
    <mergeCell ref="BQ66:BQ68"/>
    <mergeCell ref="B66:B68"/>
    <mergeCell ref="C66:E74"/>
    <mergeCell ref="F66:H68"/>
    <mergeCell ref="I66:T68"/>
    <mergeCell ref="U66:AF68"/>
    <mergeCell ref="AS62:AS64"/>
    <mergeCell ref="AT62:AT64"/>
    <mergeCell ref="AV62:AV64"/>
    <mergeCell ref="AW62:AW64"/>
    <mergeCell ref="AM62:AM64"/>
    <mergeCell ref="AN62:AN64"/>
    <mergeCell ref="AO62:AO64"/>
    <mergeCell ref="AP62:AP64"/>
    <mergeCell ref="AQ62:AQ64"/>
    <mergeCell ref="AR62:AR64"/>
    <mergeCell ref="AI66:AI68"/>
    <mergeCell ref="AK66:AK68"/>
    <mergeCell ref="AL66:AL68"/>
    <mergeCell ref="AM66:AM68"/>
    <mergeCell ref="B69:B71"/>
    <mergeCell ref="F69:H71"/>
    <mergeCell ref="I69:T71"/>
    <mergeCell ref="U69:AF71"/>
    <mergeCell ref="AG69:AG71"/>
    <mergeCell ref="AZ59:AZ61"/>
    <mergeCell ref="BN59:BN61"/>
    <mergeCell ref="BO59:BO61"/>
    <mergeCell ref="BP59:BP61"/>
    <mergeCell ref="AQ59:AQ61"/>
    <mergeCell ref="AR59:AR61"/>
    <mergeCell ref="AS59:AS61"/>
    <mergeCell ref="AT59:AT61"/>
    <mergeCell ref="AV59:AV61"/>
    <mergeCell ref="AW59:AW61"/>
    <mergeCell ref="AP59:AP61"/>
    <mergeCell ref="BO56:BO58"/>
    <mergeCell ref="BP56:BP58"/>
    <mergeCell ref="BQ56:BQ58"/>
    <mergeCell ref="B59:B61"/>
    <mergeCell ref="F59:H61"/>
    <mergeCell ref="I59:T61"/>
    <mergeCell ref="U59:AF61"/>
    <mergeCell ref="AG59:AG61"/>
    <mergeCell ref="AH59:AH61"/>
    <mergeCell ref="AI59:AI61"/>
    <mergeCell ref="AV56:AV58"/>
    <mergeCell ref="AW56:AW58"/>
    <mergeCell ref="AX56:AX58"/>
    <mergeCell ref="AY56:AY58"/>
    <mergeCell ref="AZ56:AZ58"/>
    <mergeCell ref="BN56:BN58"/>
    <mergeCell ref="AO56:AO58"/>
    <mergeCell ref="AP56:AP58"/>
    <mergeCell ref="AQ56:AQ58"/>
    <mergeCell ref="AR56:AR58"/>
    <mergeCell ref="BQ59:BQ61"/>
    <mergeCell ref="AX59:AX61"/>
    <mergeCell ref="AY59:AY61"/>
    <mergeCell ref="B56:B58"/>
    <mergeCell ref="C56:E64"/>
    <mergeCell ref="F56:H58"/>
    <mergeCell ref="I56:T58"/>
    <mergeCell ref="U56:AF58"/>
    <mergeCell ref="AG56:AG58"/>
    <mergeCell ref="AM59:AM61"/>
    <mergeCell ref="AN59:AN61"/>
    <mergeCell ref="AO59:AO61"/>
    <mergeCell ref="B62:B64"/>
    <mergeCell ref="F62:H64"/>
    <mergeCell ref="I62:T64"/>
    <mergeCell ref="U62:AF64"/>
    <mergeCell ref="AG62:AG64"/>
    <mergeCell ref="AH62:AH64"/>
    <mergeCell ref="AI62:AI64"/>
    <mergeCell ref="AK62:AK64"/>
    <mergeCell ref="AL62:AL64"/>
    <mergeCell ref="AK59:AK61"/>
    <mergeCell ref="AL59:AL61"/>
    <mergeCell ref="AW52:AW54"/>
    <mergeCell ref="AX52:AX54"/>
    <mergeCell ref="AS56:AS58"/>
    <mergeCell ref="AT56:AT58"/>
    <mergeCell ref="AH56:AH58"/>
    <mergeCell ref="AI56:AI58"/>
    <mergeCell ref="AK56:AK58"/>
    <mergeCell ref="AL56:AL58"/>
    <mergeCell ref="AM56:AM58"/>
    <mergeCell ref="AN56:AN58"/>
    <mergeCell ref="BP49:BP51"/>
    <mergeCell ref="BQ49:BQ51"/>
    <mergeCell ref="B52:B54"/>
    <mergeCell ref="F52:H54"/>
    <mergeCell ref="I52:T54"/>
    <mergeCell ref="U52:AF54"/>
    <mergeCell ref="AG52:AG54"/>
    <mergeCell ref="AH52:AH54"/>
    <mergeCell ref="AI52:AI54"/>
    <mergeCell ref="AK52:AK54"/>
    <mergeCell ref="AW49:AW51"/>
    <mergeCell ref="AX49:AX51"/>
    <mergeCell ref="AY49:AY51"/>
    <mergeCell ref="AZ49:AZ51"/>
    <mergeCell ref="BN49:BN51"/>
    <mergeCell ref="BO49:BO51"/>
    <mergeCell ref="AP49:AP51"/>
    <mergeCell ref="AQ49:AQ51"/>
    <mergeCell ref="AY52:AY54"/>
    <mergeCell ref="AZ52:AZ54"/>
    <mergeCell ref="BN52:BN54"/>
    <mergeCell ref="BO52:BO54"/>
    <mergeCell ref="BP52:BP54"/>
    <mergeCell ref="BQ52:BQ54"/>
    <mergeCell ref="AV49:AV51"/>
    <mergeCell ref="AI49:AI51"/>
    <mergeCell ref="AK49:AK51"/>
    <mergeCell ref="AL49:AL51"/>
    <mergeCell ref="AM49:AM51"/>
    <mergeCell ref="AN49:AN51"/>
    <mergeCell ref="AO49:AO51"/>
    <mergeCell ref="AL52:AL54"/>
    <mergeCell ref="AM52:AM54"/>
    <mergeCell ref="AN52:AN54"/>
    <mergeCell ref="AO52:AO54"/>
    <mergeCell ref="AP52:AP54"/>
    <mergeCell ref="AQ52:AQ54"/>
    <mergeCell ref="AR52:AR54"/>
    <mergeCell ref="AS52:AS54"/>
    <mergeCell ref="AT52:AT54"/>
    <mergeCell ref="AV52:AV54"/>
    <mergeCell ref="AL46:AL48"/>
    <mergeCell ref="AM46:AM48"/>
    <mergeCell ref="AN46:AN48"/>
    <mergeCell ref="AO46:AO48"/>
    <mergeCell ref="AP46:AP48"/>
    <mergeCell ref="AQ46:AQ48"/>
    <mergeCell ref="AR49:AR51"/>
    <mergeCell ref="AS49:AS51"/>
    <mergeCell ref="AT49:AT51"/>
    <mergeCell ref="BO46:BO48"/>
    <mergeCell ref="BP46:BP48"/>
    <mergeCell ref="BQ46:BQ48"/>
    <mergeCell ref="AR46:AR48"/>
    <mergeCell ref="AS46:AS48"/>
    <mergeCell ref="AT46:AT48"/>
    <mergeCell ref="AV46:AV48"/>
    <mergeCell ref="AW46:AW48"/>
    <mergeCell ref="AX46:AX48"/>
    <mergeCell ref="AY46:AY48"/>
    <mergeCell ref="AZ46:AZ48"/>
    <mergeCell ref="BN46:BN48"/>
    <mergeCell ref="AZ43:AZ45"/>
    <mergeCell ref="BN43:BN45"/>
    <mergeCell ref="BO43:BO45"/>
    <mergeCell ref="BP43:BP45"/>
    <mergeCell ref="AQ43:AQ45"/>
    <mergeCell ref="AR43:AR45"/>
    <mergeCell ref="AS43:AS45"/>
    <mergeCell ref="AT43:AT45"/>
    <mergeCell ref="AV43:AV45"/>
    <mergeCell ref="AW43:AW45"/>
    <mergeCell ref="B46:B48"/>
    <mergeCell ref="C46:E54"/>
    <mergeCell ref="F46:H48"/>
    <mergeCell ref="I46:T48"/>
    <mergeCell ref="U46:AF48"/>
    <mergeCell ref="AG46:AG48"/>
    <mergeCell ref="AH46:AH48"/>
    <mergeCell ref="AI46:AI48"/>
    <mergeCell ref="AK46:AK48"/>
    <mergeCell ref="B49:B51"/>
    <mergeCell ref="F49:H51"/>
    <mergeCell ref="I49:T51"/>
    <mergeCell ref="U49:AF51"/>
    <mergeCell ref="AG49:AG51"/>
    <mergeCell ref="AH49:AH51"/>
    <mergeCell ref="AP43:AP45"/>
    <mergeCell ref="BO40:BO42"/>
    <mergeCell ref="BP40:BP42"/>
    <mergeCell ref="BQ40:BQ42"/>
    <mergeCell ref="B43:B45"/>
    <mergeCell ref="F43:H45"/>
    <mergeCell ref="I43:T45"/>
    <mergeCell ref="U43:AF45"/>
    <mergeCell ref="AG43:AG45"/>
    <mergeCell ref="AH43:AH45"/>
    <mergeCell ref="AI43:AI45"/>
    <mergeCell ref="AV40:AV42"/>
    <mergeCell ref="AW40:AW42"/>
    <mergeCell ref="AX40:AX42"/>
    <mergeCell ref="AY40:AY42"/>
    <mergeCell ref="AZ40:AZ42"/>
    <mergeCell ref="BN40:BN42"/>
    <mergeCell ref="AO40:AO42"/>
    <mergeCell ref="AP40:AP42"/>
    <mergeCell ref="AQ40:AQ42"/>
    <mergeCell ref="AR40:AR42"/>
    <mergeCell ref="BQ43:BQ45"/>
    <mergeCell ref="AX43:AX45"/>
    <mergeCell ref="AY43:AY45"/>
    <mergeCell ref="B40:B42"/>
    <mergeCell ref="C40:E45"/>
    <mergeCell ref="F40:H42"/>
    <mergeCell ref="I40:T42"/>
    <mergeCell ref="U40:AF42"/>
    <mergeCell ref="AG40:AG42"/>
    <mergeCell ref="AM43:AM45"/>
    <mergeCell ref="AN43:AN45"/>
    <mergeCell ref="AO43:AO45"/>
    <mergeCell ref="AK43:AK45"/>
    <mergeCell ref="AL43:AL45"/>
    <mergeCell ref="AW37:AW39"/>
    <mergeCell ref="AX37:AX39"/>
    <mergeCell ref="AS40:AS42"/>
    <mergeCell ref="AT40:AT42"/>
    <mergeCell ref="AH40:AH42"/>
    <mergeCell ref="AI40:AI42"/>
    <mergeCell ref="AK40:AK42"/>
    <mergeCell ref="AL40:AL42"/>
    <mergeCell ref="AM40:AM42"/>
    <mergeCell ref="AN40:AN42"/>
    <mergeCell ref="BP34:BP36"/>
    <mergeCell ref="BQ34:BQ36"/>
    <mergeCell ref="B37:B39"/>
    <mergeCell ref="F37:H39"/>
    <mergeCell ref="I37:T39"/>
    <mergeCell ref="U37:AF39"/>
    <mergeCell ref="AG37:AG39"/>
    <mergeCell ref="AH37:AH39"/>
    <mergeCell ref="AI37:AI39"/>
    <mergeCell ref="AK37:AK39"/>
    <mergeCell ref="AW34:AW36"/>
    <mergeCell ref="AX34:AX36"/>
    <mergeCell ref="AY34:AY36"/>
    <mergeCell ref="AZ34:AZ36"/>
    <mergeCell ref="BN34:BN36"/>
    <mergeCell ref="BO34:BO36"/>
    <mergeCell ref="AP34:AP36"/>
    <mergeCell ref="AQ34:AQ36"/>
    <mergeCell ref="AY37:AY39"/>
    <mergeCell ref="AZ37:AZ39"/>
    <mergeCell ref="BN37:BN39"/>
    <mergeCell ref="BO37:BO39"/>
    <mergeCell ref="BP37:BP39"/>
    <mergeCell ref="BQ37:BQ39"/>
    <mergeCell ref="AV34:AV36"/>
    <mergeCell ref="AI34:AI36"/>
    <mergeCell ref="AK34:AK36"/>
    <mergeCell ref="AL34:AL36"/>
    <mergeCell ref="AM34:AM36"/>
    <mergeCell ref="AN34:AN36"/>
    <mergeCell ref="AO34:AO36"/>
    <mergeCell ref="AL37:AL39"/>
    <mergeCell ref="AM37:AM39"/>
    <mergeCell ref="AN37:AN39"/>
    <mergeCell ref="AO37:AO39"/>
    <mergeCell ref="AP37:AP39"/>
    <mergeCell ref="AQ37:AQ39"/>
    <mergeCell ref="AR37:AR39"/>
    <mergeCell ref="AS37:AS39"/>
    <mergeCell ref="AT37:AT39"/>
    <mergeCell ref="AV37:AV39"/>
    <mergeCell ref="AL31:AL33"/>
    <mergeCell ref="AM31:AM33"/>
    <mergeCell ref="AN31:AN33"/>
    <mergeCell ref="AO31:AO33"/>
    <mergeCell ref="AP31:AP33"/>
    <mergeCell ref="AQ31:AQ33"/>
    <mergeCell ref="AR34:AR36"/>
    <mergeCell ref="AS34:AS36"/>
    <mergeCell ref="AT34:AT36"/>
    <mergeCell ref="BO31:BO33"/>
    <mergeCell ref="BP31:BP33"/>
    <mergeCell ref="BQ31:BQ33"/>
    <mergeCell ref="AR31:AR33"/>
    <mergeCell ref="AS31:AS33"/>
    <mergeCell ref="AT31:AT33"/>
    <mergeCell ref="AV31:AV33"/>
    <mergeCell ref="AW31:AW33"/>
    <mergeCell ref="AX31:AX33"/>
    <mergeCell ref="AY31:AY33"/>
    <mergeCell ref="AZ31:AZ33"/>
    <mergeCell ref="BN31:BN33"/>
    <mergeCell ref="BN28:BN30"/>
    <mergeCell ref="BO28:BO30"/>
    <mergeCell ref="BP28:BP30"/>
    <mergeCell ref="AQ28:AQ30"/>
    <mergeCell ref="AR28:AR30"/>
    <mergeCell ref="AS28:AS30"/>
    <mergeCell ref="AT28:AT30"/>
    <mergeCell ref="AV28:AV30"/>
    <mergeCell ref="AW28:AW30"/>
    <mergeCell ref="B31:B33"/>
    <mergeCell ref="C31:E39"/>
    <mergeCell ref="F31:H33"/>
    <mergeCell ref="I31:T33"/>
    <mergeCell ref="U31:AF33"/>
    <mergeCell ref="AG31:AG33"/>
    <mergeCell ref="AH31:AH33"/>
    <mergeCell ref="AI31:AI33"/>
    <mergeCell ref="AK31:AK33"/>
    <mergeCell ref="B34:B36"/>
    <mergeCell ref="F34:H36"/>
    <mergeCell ref="I34:T36"/>
    <mergeCell ref="U34:AF36"/>
    <mergeCell ref="AG34:AG36"/>
    <mergeCell ref="AH34:AH36"/>
    <mergeCell ref="BO25:BO27"/>
    <mergeCell ref="BP25:BP27"/>
    <mergeCell ref="BQ25:BQ27"/>
    <mergeCell ref="B28:B30"/>
    <mergeCell ref="F28:H30"/>
    <mergeCell ref="I28:T30"/>
    <mergeCell ref="U28:AF30"/>
    <mergeCell ref="AG28:AG30"/>
    <mergeCell ref="AH28:AH30"/>
    <mergeCell ref="AI28:AI30"/>
    <mergeCell ref="AV25:AV27"/>
    <mergeCell ref="AW25:AW27"/>
    <mergeCell ref="AX25:AX27"/>
    <mergeCell ref="AY25:AY27"/>
    <mergeCell ref="AZ25:AZ27"/>
    <mergeCell ref="BN25:BN27"/>
    <mergeCell ref="AO25:AO27"/>
    <mergeCell ref="AP25:AP27"/>
    <mergeCell ref="AQ25:AQ27"/>
    <mergeCell ref="AR25:AR27"/>
    <mergeCell ref="BQ28:BQ30"/>
    <mergeCell ref="AX28:AX30"/>
    <mergeCell ref="AY28:AY30"/>
    <mergeCell ref="AZ28:AZ30"/>
    <mergeCell ref="AI25:AI27"/>
    <mergeCell ref="AK25:AK27"/>
    <mergeCell ref="AL25:AL27"/>
    <mergeCell ref="AM25:AM27"/>
    <mergeCell ref="AN25:AN27"/>
    <mergeCell ref="AZ22:AZ24"/>
    <mergeCell ref="AM28:AM30"/>
    <mergeCell ref="AN28:AN30"/>
    <mergeCell ref="AO28:AO30"/>
    <mergeCell ref="AP28:AP30"/>
    <mergeCell ref="AK28:AK30"/>
    <mergeCell ref="AL28:AL30"/>
    <mergeCell ref="BN22:BN24"/>
    <mergeCell ref="BO22:BO24"/>
    <mergeCell ref="BP22:BP24"/>
    <mergeCell ref="BQ22:BQ24"/>
    <mergeCell ref="B25:B27"/>
    <mergeCell ref="F25:H27"/>
    <mergeCell ref="I25:T27"/>
    <mergeCell ref="U25:AF27"/>
    <mergeCell ref="AG25:AG27"/>
    <mergeCell ref="AS22:AS24"/>
    <mergeCell ref="AT22:AT24"/>
    <mergeCell ref="AV22:AV24"/>
    <mergeCell ref="AW22:AW24"/>
    <mergeCell ref="AX22:AX24"/>
    <mergeCell ref="AY22:AY24"/>
    <mergeCell ref="AM22:AM24"/>
    <mergeCell ref="AN22:AN24"/>
    <mergeCell ref="AO22:AO24"/>
    <mergeCell ref="AP22:AP24"/>
    <mergeCell ref="AQ22:AQ24"/>
    <mergeCell ref="AR22:AR24"/>
    <mergeCell ref="AS25:AS27"/>
    <mergeCell ref="AT25:AT27"/>
    <mergeCell ref="AH25:AH27"/>
    <mergeCell ref="BQ19:BQ21"/>
    <mergeCell ref="B22:B24"/>
    <mergeCell ref="F22:H24"/>
    <mergeCell ref="I22:T24"/>
    <mergeCell ref="U22:AF24"/>
    <mergeCell ref="AG22:AG24"/>
    <mergeCell ref="AH22:AH24"/>
    <mergeCell ref="AI22:AI24"/>
    <mergeCell ref="AK22:AK24"/>
    <mergeCell ref="AL22:AL24"/>
    <mergeCell ref="AX19:AX21"/>
    <mergeCell ref="AY19:AY21"/>
    <mergeCell ref="AZ19:AZ21"/>
    <mergeCell ref="BN19:BN21"/>
    <mergeCell ref="BO19:BO21"/>
    <mergeCell ref="BP19:BP21"/>
    <mergeCell ref="AQ19:AQ21"/>
    <mergeCell ref="AR19:AR21"/>
    <mergeCell ref="AS19:AS21"/>
    <mergeCell ref="AT19:AT21"/>
    <mergeCell ref="AV19:AV21"/>
    <mergeCell ref="AW19:AW21"/>
    <mergeCell ref="AK19:AK21"/>
    <mergeCell ref="AL19:AL21"/>
    <mergeCell ref="AM19:AM21"/>
    <mergeCell ref="AN19:AN21"/>
    <mergeCell ref="AO19:AO21"/>
    <mergeCell ref="AP19:AP21"/>
    <mergeCell ref="B19:B21"/>
    <mergeCell ref="I19:T21"/>
    <mergeCell ref="U19:AF21"/>
    <mergeCell ref="AG19:AG21"/>
    <mergeCell ref="AH19:AH21"/>
    <mergeCell ref="AI19:AI21"/>
    <mergeCell ref="AY16:AY18"/>
    <mergeCell ref="AZ16:AZ18"/>
    <mergeCell ref="BN16:BN18"/>
    <mergeCell ref="BO16:BO18"/>
    <mergeCell ref="BP16:BP18"/>
    <mergeCell ref="BQ16:BQ18"/>
    <mergeCell ref="AR16:AR18"/>
    <mergeCell ref="AS16:AS18"/>
    <mergeCell ref="AT16:AT18"/>
    <mergeCell ref="AV16:AV18"/>
    <mergeCell ref="AW16:AW18"/>
    <mergeCell ref="AX16:AX18"/>
    <mergeCell ref="AL16:AL18"/>
    <mergeCell ref="AM16:AM18"/>
    <mergeCell ref="AN16:AN18"/>
    <mergeCell ref="AO16:AO18"/>
    <mergeCell ref="AP16:AP18"/>
    <mergeCell ref="AQ16:AQ18"/>
    <mergeCell ref="BN13:BQ14"/>
    <mergeCell ref="B16:B18"/>
    <mergeCell ref="C16:E30"/>
    <mergeCell ref="F16:H21"/>
    <mergeCell ref="I16:T18"/>
    <mergeCell ref="U16:AF18"/>
    <mergeCell ref="AG16:AG18"/>
    <mergeCell ref="AH16:AH18"/>
    <mergeCell ref="AI16:AI18"/>
    <mergeCell ref="AK16:AK18"/>
    <mergeCell ref="AP13:AP14"/>
    <mergeCell ref="AQ13:AQ14"/>
    <mergeCell ref="AR13:AR14"/>
    <mergeCell ref="AS13:AS14"/>
    <mergeCell ref="AT13:AT14"/>
    <mergeCell ref="AV13:AZ14"/>
    <mergeCell ref="AI13:AI14"/>
    <mergeCell ref="AK13:AK14"/>
    <mergeCell ref="AL13:AL14"/>
    <mergeCell ref="AM13:AM14"/>
    <mergeCell ref="AN13:AN14"/>
    <mergeCell ref="AO13:AO14"/>
    <mergeCell ref="B13:B14"/>
    <mergeCell ref="C13:H14"/>
    <mergeCell ref="I13:T14"/>
    <mergeCell ref="U13:AF14"/>
    <mergeCell ref="AG13:AG14"/>
    <mergeCell ref="AH13:AH14"/>
    <mergeCell ref="AF5:AF10"/>
    <mergeCell ref="B6:J6"/>
    <mergeCell ref="K6:T6"/>
    <mergeCell ref="AK6:AT10"/>
    <mergeCell ref="B7:J7"/>
    <mergeCell ref="K7:M7"/>
    <mergeCell ref="N7:T7"/>
    <mergeCell ref="B8:J8"/>
    <mergeCell ref="K8:T8"/>
    <mergeCell ref="B9:J9"/>
    <mergeCell ref="B2:H3"/>
    <mergeCell ref="B5:J5"/>
    <mergeCell ref="K5:M5"/>
    <mergeCell ref="O5:P5"/>
    <mergeCell ref="R5:S5"/>
    <mergeCell ref="AA5:AE10"/>
    <mergeCell ref="K9:T9"/>
    <mergeCell ref="B10:J10"/>
    <mergeCell ref="K10:T10"/>
    <mergeCell ref="Y10:Z10"/>
  </mergeCells>
  <phoneticPr fontId="74"/>
  <conditionalFormatting sqref="AG101:AG109">
    <cfRule type="expression" dxfId="14" priority="11" stopIfTrue="1">
      <formula>$AG$100="×"</formula>
    </cfRule>
  </conditionalFormatting>
  <conditionalFormatting sqref="AH16:AH54 AH59:AH64 AH66:AH92 AH94:AH99">
    <cfRule type="expression" dxfId="13" priority="10" stopIfTrue="1">
      <formula>AND($AG16=0,$AG16&lt;&gt;"")</formula>
    </cfRule>
  </conditionalFormatting>
  <conditionalFormatting sqref="AH56:AH58">
    <cfRule type="expression" dxfId="12" priority="8" stopIfTrue="1">
      <formula>AND($AG56=(-1),$AG56&lt;&gt;"")</formula>
    </cfRule>
  </conditionalFormatting>
  <conditionalFormatting sqref="AH101:AH109">
    <cfRule type="expression" dxfId="11" priority="9" stopIfTrue="1">
      <formula>AND($AG101=0,$AG101&lt;&gt;"")</formula>
    </cfRule>
  </conditionalFormatting>
  <conditionalFormatting sqref="AH111:AH113">
    <cfRule type="expression" dxfId="10" priority="6" stopIfTrue="1">
      <formula>AND($AG111=0,$AG111&lt;&gt;"")</formula>
    </cfRule>
  </conditionalFormatting>
  <conditionalFormatting sqref="AH114:AH119">
    <cfRule type="expression" dxfId="9" priority="2">
      <formula>AND($AG114=0,$AG114&lt;&gt;"")</formula>
    </cfRule>
  </conditionalFormatting>
  <conditionalFormatting sqref="AH127:AH128">
    <cfRule type="expression" dxfId="8" priority="3">
      <formula>AND($AG127=0,$AG127&lt;&gt;"")</formula>
    </cfRule>
  </conditionalFormatting>
  <conditionalFormatting sqref="AI34 AI37 AI49 AI52 AI66 AI72 AI90">
    <cfRule type="expression" dxfId="7" priority="7">
      <formula>AND($AG34&gt;0,$AI34="")</formula>
    </cfRule>
  </conditionalFormatting>
  <conditionalFormatting sqref="AI127:AI128">
    <cfRule type="expression" dxfId="6" priority="1">
      <formula>AND($AG$127=1,$AI$127="")</formula>
    </cfRule>
  </conditionalFormatting>
  <dataValidations count="23">
    <dataValidation type="list" allowBlank="1" showInputMessage="1" showErrorMessage="1" sqref="AG92" xr:uid="{00000000-0002-0000-0800-000000000000}">
      <formula1>OFFSET($AV92,0,0,1,COUNTA($AV92:$AZ100))</formula1>
    </dataValidation>
    <dataValidation type="list" allowBlank="1" showInputMessage="1" showErrorMessage="1" sqref="AG118:AG119" xr:uid="{00000000-0002-0000-0800-000001000000}">
      <formula1>$AV$118:$BA$118</formula1>
    </dataValidation>
    <dataValidation type="list" allowBlank="1" showInputMessage="1" showErrorMessage="1" sqref="AG111:AG113" xr:uid="{00000000-0002-0000-0800-000002000000}">
      <formula1>$AV$111:$AX$111</formula1>
    </dataValidation>
    <dataValidation type="list" allowBlank="1" showInputMessage="1" showErrorMessage="1" sqref="AG114:AG115" xr:uid="{00000000-0002-0000-0800-000003000000}">
      <formula1>$AV$114:$AW$114</formula1>
    </dataValidation>
    <dataValidation type="list" allowBlank="1" showInputMessage="1" showErrorMessage="1" sqref="AG116:AG117" xr:uid="{00000000-0002-0000-0800-000004000000}">
      <formula1>$AV$116:$AW$116</formula1>
    </dataValidation>
    <dataValidation type="list" allowBlank="1" showInputMessage="1" showErrorMessage="1" sqref="AG127:AG128" xr:uid="{00000000-0002-0000-0800-000005000000}">
      <formula1>$AV$127:$AW$127</formula1>
    </dataValidation>
    <dataValidation type="list" allowBlank="1" showInputMessage="1" showErrorMessage="1" sqref="AG120:AG126" xr:uid="{00000000-0002-0000-0800-000006000000}">
      <formula1>$AV$120:$BB$120</formula1>
    </dataValidation>
    <dataValidation type="list" allowBlank="1" showInputMessage="1" showErrorMessage="1" sqref="AG91" xr:uid="{00000000-0002-0000-0800-000007000000}">
      <formula1>OFFSET($AV91,0,0,1,COUNTA($AV91:$AZ100))</formula1>
    </dataValidation>
    <dataValidation type="list" allowBlank="1" showInputMessage="1" showErrorMessage="1" sqref="AG50:AG51" xr:uid="{00000000-0002-0000-0800-000008000000}">
      <formula1>OFFSET($AV50,0,0,1,COUNTA($AV50:$AZ81))</formula1>
    </dataValidation>
    <dataValidation type="list" allowBlank="1" showInputMessage="1" showErrorMessage="1" sqref="AG96 AG99" xr:uid="{00000000-0002-0000-0800-000009000000}">
      <formula1>OFFSET($AV96,0,0,1,COUNTA($AV96:$AZ106))</formula1>
    </dataValidation>
    <dataValidation type="list" allowBlank="1" showInputMessage="1" showErrorMessage="1" sqref="AG95 AG98" xr:uid="{00000000-0002-0000-0800-00000A000000}">
      <formula1>OFFSET($AV95,0,0,1,COUNTA($AV95:$AZ106))</formula1>
    </dataValidation>
    <dataValidation type="list" allowBlank="1" showInputMessage="1" showErrorMessage="1" sqref="AH120:AH126" xr:uid="{00000000-0002-0000-0800-00000B000000}">
      <formula1>"□,☑"</formula1>
    </dataValidation>
    <dataValidation type="list" allowBlank="1" showInputMessage="1" showErrorMessage="1" sqref="AH101:AH109 AH16:AH54 AH56:AH64 AH111:AH119 AH127:AH128 AH66:AH92 AH94:AH99" xr:uid="{00000000-0002-0000-0800-00000C000000}">
      <formula1>OFFSET($BN16,0,0,1,COUNTA($BN16:$BQ16))</formula1>
    </dataValidation>
    <dataValidation type="list" allowBlank="1" showInputMessage="1" showErrorMessage="1" sqref="AG72 AG49 AG104:AG107 AG101 AG78 AG75 AG66 AG59:AG62 AG56 AG46 AG52 AG34:AG37 AG31 AG40 AG43 AG28 AG25 AG22 AG81:AG90 AG94 AG97 AG16:AG19 AG69" xr:uid="{00000000-0002-0000-0800-00000D000000}">
      <formula1>OFFSET($AV16,0,0,1,COUNTA($AV16:$AZ18))</formula1>
    </dataValidation>
    <dataValidation type="list" allowBlank="1" showInputMessage="1" showErrorMessage="1" sqref="AG44 AG73 AG108 AG102 AG79 AG76 AG67 AG63 AG57 AG47 AG53 AG41 AG20:AG21 AG70:AG71" xr:uid="{00000000-0002-0000-0800-00000E000000}">
      <formula1>OFFSET($AV20,0,0,1,COUNTA($AV20:$AZ21))</formula1>
    </dataValidation>
    <dataValidation type="list" allowBlank="1" showInputMessage="1" showErrorMessage="1" sqref="AG45 AG74 AG103 AG80 AG77 AG48 AG68 AG64 AG58 AG42 AG54 AG109" xr:uid="{00000000-0002-0000-0800-00000F000000}">
      <formula1>OFFSET($AV42,0,0,1,COUNTA($AV42:$AZ42))</formula1>
    </dataValidation>
    <dataValidation type="list" allowBlank="1" showInputMessage="1" showErrorMessage="1" sqref="AG26:AG27 AG23:AG24" xr:uid="{00000000-0002-0000-0800-000010000000}">
      <formula1>OFFSET($AV23,0,0,1,COUNTA($AV23:$AZ28))</formula1>
    </dataValidation>
    <dataValidation type="list" allowBlank="1" showInputMessage="1" showErrorMessage="1" sqref="AG32:AG33" xr:uid="{00000000-0002-0000-0800-000011000000}">
      <formula1>OFFSET($AV32,0,0,1,COUNTA(#REF!))</formula1>
    </dataValidation>
    <dataValidation type="list" allowBlank="1" showInputMessage="1" showErrorMessage="1" sqref="AG39" xr:uid="{00000000-0002-0000-0800-000012000000}">
      <formula1>OFFSET($AV39,0,0,1,COUNTA($AV39:$AZ45))</formula1>
    </dataValidation>
    <dataValidation type="list" allowBlank="1" showInputMessage="1" showErrorMessage="1" sqref="AG38" xr:uid="{00000000-0002-0000-0800-000013000000}">
      <formula1>OFFSET($AV38,0,0,1,COUNTA($AV38:$AZ45))</formula1>
    </dataValidation>
    <dataValidation type="list" allowBlank="1" showInputMessage="1" showErrorMessage="1" sqref="AG30" xr:uid="{00000000-0002-0000-0800-000014000000}">
      <formula1>OFFSET($AV30,0,0,1,COUNTA($AV30:$AZ45))</formula1>
    </dataValidation>
    <dataValidation type="list" allowBlank="1" showInputMessage="1" showErrorMessage="1" sqref="AG29" xr:uid="{00000000-0002-0000-0800-000015000000}">
      <formula1>OFFSET($AV29,0,0,1,COUNTA($AV29:$AZ45))</formula1>
    </dataValidation>
    <dataValidation type="list" allowBlank="1" showInputMessage="1" showErrorMessage="1" sqref="AG100" xr:uid="{00000000-0002-0000-0800-000016000000}">
      <formula1>"×"</formula1>
    </dataValidation>
  </dataValidations>
  <printOptions horizontalCentered="1"/>
  <pageMargins left="0" right="0" top="0.59055118110236227" bottom="0.59055118110236227" header="0.51181102362204722" footer="0.51181102362204722"/>
  <pageSetup paperSize="9" scale="53" fitToHeight="4" orientation="landscape" r:id="rId1"/>
  <headerFooter alignWithMargins="0"/>
  <rowBreaks count="3" manualBreakCount="3">
    <brk id="39" min="1" max="34" man="1"/>
    <brk id="80" min="1" max="34" man="1"/>
    <brk id="109" min="1"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P110"/>
  <sheetViews>
    <sheetView showGridLines="0" view="pageBreakPreview" zoomScaleSheetLayoutView="100" workbookViewId="0">
      <selection activeCell="B20" sqref="B20:H21"/>
    </sheetView>
  </sheetViews>
  <sheetFormatPr defaultColWidth="2.375" defaultRowHeight="14.25"/>
  <cols>
    <col min="1" max="12" width="2.375" style="3" customWidth="1"/>
    <col min="13" max="15" width="3.375" style="3" customWidth="1"/>
    <col min="16" max="25" width="2.375" style="3" customWidth="1"/>
    <col min="26" max="26" width="3.375" style="3" customWidth="1"/>
    <col min="27" max="27" width="2.375" style="3" customWidth="1"/>
    <col min="28" max="30" width="3.375" style="3" customWidth="1"/>
    <col min="31" max="37" width="2.375" style="3" customWidth="1"/>
    <col min="38" max="38" width="2.375" style="3" hidden="1" customWidth="1"/>
    <col min="39" max="42" width="15.625" style="3" hidden="1" customWidth="1"/>
    <col min="43" max="44" width="15.625" style="3" customWidth="1"/>
    <col min="45" max="50" width="2.375" style="3"/>
    <col min="51" max="53" width="3.875" style="3" bestFit="1" customWidth="1"/>
    <col min="54" max="16384" width="2.375" style="3"/>
  </cols>
  <sheetData>
    <row r="1" spans="2:41" ht="14.25" customHeight="1">
      <c r="B1" s="1802" t="s">
        <v>762</v>
      </c>
      <c r="C1" s="1802"/>
      <c r="D1" s="1802"/>
      <c r="E1" s="1802"/>
      <c r="F1" s="1802"/>
      <c r="G1" s="1802"/>
      <c r="H1" s="1802"/>
      <c r="I1" s="1802"/>
      <c r="J1" s="1802"/>
      <c r="K1" s="1802"/>
      <c r="L1" s="1802"/>
      <c r="M1" s="1802"/>
      <c r="N1" s="1802"/>
      <c r="O1" s="1802"/>
      <c r="P1" s="1802"/>
      <c r="Q1" s="1802"/>
      <c r="R1" s="1802"/>
      <c r="S1" s="19"/>
      <c r="T1" s="19"/>
      <c r="U1" s="19"/>
      <c r="V1" s="19"/>
      <c r="W1" s="19"/>
      <c r="X1" s="19"/>
      <c r="Y1" s="19"/>
      <c r="Z1" s="19"/>
      <c r="AA1" s="19"/>
      <c r="AB1" s="19"/>
      <c r="AC1" s="19"/>
      <c r="AD1" s="19"/>
      <c r="AE1" s="19"/>
      <c r="AF1" s="19"/>
      <c r="AG1" s="19"/>
      <c r="AH1" s="19"/>
      <c r="AI1" s="19"/>
    </row>
    <row r="2" spans="2:41" ht="14.25" customHeight="1">
      <c r="B2" s="1802"/>
      <c r="C2" s="1802"/>
      <c r="D2" s="1802"/>
      <c r="E2" s="1802"/>
      <c r="F2" s="1802"/>
      <c r="G2" s="1802"/>
      <c r="H2" s="1802"/>
      <c r="I2" s="1802"/>
      <c r="J2" s="1802"/>
      <c r="K2" s="1802"/>
      <c r="L2" s="1802"/>
      <c r="M2" s="1802"/>
      <c r="N2" s="1802"/>
      <c r="O2" s="1802"/>
      <c r="P2" s="1802"/>
      <c r="Q2" s="1802"/>
      <c r="R2" s="1802"/>
      <c r="S2" s="1797" t="s">
        <v>450</v>
      </c>
      <c r="T2" s="1797"/>
      <c r="U2" s="1797"/>
      <c r="V2" s="1797"/>
      <c r="W2" s="1797"/>
      <c r="X2" s="1797"/>
      <c r="Y2" s="1797"/>
      <c r="Z2" s="1796" t="str">
        <f>IF(その1!E9="","",その1!E9)</f>
        <v/>
      </c>
      <c r="AA2" s="1796"/>
      <c r="AB2" s="1796"/>
      <c r="AC2" s="1796"/>
      <c r="AD2" s="1796"/>
      <c r="AE2" s="1796"/>
      <c r="AF2" s="1796"/>
      <c r="AG2" s="1796"/>
      <c r="AH2" s="1796"/>
      <c r="AI2" s="1796"/>
    </row>
    <row r="4" spans="2:41" ht="14.25" customHeight="1">
      <c r="B4" s="1786" t="s">
        <v>394</v>
      </c>
      <c r="C4" s="1787"/>
      <c r="D4" s="1787"/>
      <c r="E4" s="1787"/>
      <c r="F4" s="1787"/>
      <c r="G4" s="1787"/>
      <c r="H4" s="1787"/>
      <c r="I4" s="1787"/>
      <c r="J4" s="1787"/>
      <c r="K4" s="1787"/>
      <c r="L4" s="1787"/>
      <c r="M4" s="1787"/>
      <c r="N4" s="1787"/>
      <c r="O4" s="1787"/>
      <c r="P4" s="1787"/>
      <c r="Q4" s="1787"/>
      <c r="R4" s="1787"/>
      <c r="S4" s="1787"/>
      <c r="T4" s="1787"/>
      <c r="U4" s="1787"/>
      <c r="V4" s="1787"/>
      <c r="W4" s="1787"/>
      <c r="X4" s="1787"/>
      <c r="Y4" s="1787"/>
      <c r="Z4" s="1787"/>
      <c r="AA4" s="1787"/>
      <c r="AB4" s="1787"/>
      <c r="AC4" s="1787"/>
      <c r="AD4" s="1787"/>
      <c r="AE4" s="1787"/>
      <c r="AF4" s="1787"/>
      <c r="AG4" s="1787"/>
      <c r="AH4" s="1787"/>
      <c r="AI4" s="1794"/>
    </row>
    <row r="5" spans="2:41" ht="14.25" customHeight="1">
      <c r="B5" s="1788"/>
      <c r="C5" s="1789"/>
      <c r="D5" s="1789"/>
      <c r="E5" s="1789"/>
      <c r="F5" s="1789"/>
      <c r="G5" s="1789"/>
      <c r="H5" s="1789"/>
      <c r="I5" s="1789"/>
      <c r="J5" s="1789"/>
      <c r="K5" s="1789"/>
      <c r="L5" s="1789"/>
      <c r="M5" s="1789"/>
      <c r="N5" s="1789"/>
      <c r="O5" s="1789"/>
      <c r="P5" s="1789"/>
      <c r="Q5" s="1789"/>
      <c r="R5" s="1789"/>
      <c r="S5" s="1789"/>
      <c r="T5" s="1789"/>
      <c r="U5" s="1789"/>
      <c r="V5" s="1789"/>
      <c r="W5" s="1789"/>
      <c r="X5" s="1789"/>
      <c r="Y5" s="1789"/>
      <c r="Z5" s="1789"/>
      <c r="AA5" s="1789"/>
      <c r="AB5" s="1789"/>
      <c r="AC5" s="1789"/>
      <c r="AD5" s="1789"/>
      <c r="AE5" s="1789"/>
      <c r="AF5" s="1789"/>
      <c r="AG5" s="1789"/>
      <c r="AH5" s="1789"/>
      <c r="AI5" s="1795"/>
    </row>
    <row r="6" spans="2:41">
      <c r="B6" s="1758" t="s">
        <v>593</v>
      </c>
      <c r="C6" s="1758"/>
      <c r="D6" s="1758"/>
      <c r="E6" s="1758"/>
      <c r="F6" s="1758"/>
      <c r="G6" s="1758"/>
      <c r="H6" s="1758"/>
      <c r="I6" s="1758"/>
      <c r="J6" s="1758"/>
      <c r="K6" s="1758"/>
      <c r="L6" s="1758"/>
      <c r="M6" s="1758"/>
      <c r="N6" s="1758"/>
      <c r="O6" s="1758"/>
      <c r="P6" s="1758"/>
      <c r="Q6" s="1758"/>
      <c r="R6" s="1758"/>
      <c r="S6" s="1758"/>
      <c r="T6" s="1758"/>
      <c r="U6" s="1758"/>
      <c r="V6" s="1758"/>
      <c r="W6" s="1758"/>
      <c r="X6" s="1758"/>
      <c r="Y6" s="1758"/>
      <c r="Z6" s="1758"/>
      <c r="AA6" s="1758"/>
      <c r="AB6" s="1758"/>
      <c r="AC6" s="1758"/>
      <c r="AD6" s="1758"/>
      <c r="AE6" s="1758"/>
      <c r="AF6" s="1758"/>
      <c r="AG6" s="1758"/>
      <c r="AH6" s="1758"/>
      <c r="AI6" s="1758"/>
      <c r="AM6" s="3" t="s">
        <v>598</v>
      </c>
    </row>
    <row r="7" spans="2:41">
      <c r="B7" s="23"/>
      <c r="C7" s="23"/>
      <c r="D7" s="23"/>
      <c r="E7" s="23"/>
      <c r="F7" s="23"/>
      <c r="G7" s="23"/>
      <c r="H7" s="23"/>
      <c r="I7" s="23"/>
      <c r="J7" s="23"/>
      <c r="K7" s="23"/>
      <c r="L7" s="23"/>
      <c r="M7" s="23"/>
      <c r="N7" s="23"/>
      <c r="O7" s="23"/>
      <c r="P7" s="23"/>
      <c r="Q7" s="23"/>
      <c r="R7" s="23"/>
      <c r="S7" s="23"/>
      <c r="T7" s="23"/>
      <c r="U7" s="23"/>
      <c r="V7" s="23"/>
      <c r="W7" s="23"/>
      <c r="X7" s="23"/>
      <c r="Y7" s="23"/>
      <c r="Z7" s="23"/>
      <c r="AA7" s="1798"/>
      <c r="AB7" s="1798"/>
      <c r="AC7" s="1798"/>
      <c r="AD7" s="1798"/>
      <c r="AE7" s="1798"/>
      <c r="AF7" s="1798"/>
      <c r="AG7" s="1798"/>
      <c r="AH7" s="1798"/>
      <c r="AI7" s="1798"/>
      <c r="AN7" s="3" t="s">
        <v>595</v>
      </c>
    </row>
    <row r="8" spans="2:41" ht="14.25" customHeight="1">
      <c r="C8" s="1799" t="str">
        <f>IF(その1!R35="","",その1!R35)</f>
        <v/>
      </c>
      <c r="D8" s="1799"/>
      <c r="E8" s="1799"/>
      <c r="F8" s="1799"/>
      <c r="G8" s="1801" t="s">
        <v>316</v>
      </c>
      <c r="H8" s="1801"/>
      <c r="I8" s="1799">
        <f>IF(その1!Y35="","",その1!Y35)</f>
        <v>3</v>
      </c>
      <c r="J8" s="1799"/>
      <c r="K8" s="1799"/>
      <c r="L8" s="1801" t="s">
        <v>59</v>
      </c>
      <c r="M8" s="1801"/>
      <c r="Q8" s="1767" t="s">
        <v>395</v>
      </c>
      <c r="R8" s="1767"/>
      <c r="S8" s="1767"/>
      <c r="W8" s="1768" t="s">
        <v>396</v>
      </c>
      <c r="X8" s="1769"/>
      <c r="Y8" s="1769"/>
      <c r="Z8" s="1770"/>
      <c r="AA8" s="1774" t="str">
        <f>IF(I8="","",IF(C8&lt;=(その1!H4-3),"評価対象",IF(AND(C8=(その1!H4-2),I8&lt;4),"評価対象","評価対象外")))</f>
        <v>評価対象外</v>
      </c>
      <c r="AB8" s="1775"/>
      <c r="AC8" s="1775"/>
      <c r="AD8" s="1775"/>
      <c r="AE8" s="1775"/>
      <c r="AF8" s="1775"/>
      <c r="AG8" s="1775"/>
      <c r="AH8" s="1775"/>
      <c r="AI8" s="1776"/>
      <c r="AM8" s="5" t="s">
        <v>592</v>
      </c>
      <c r="AN8" s="3">
        <f>IF(AA8="評価対象",1,IF(AA8="評価対象外",0,""))</f>
        <v>0</v>
      </c>
      <c r="AO8" s="3" t="s">
        <v>594</v>
      </c>
    </row>
    <row r="9" spans="2:41" ht="14.25" customHeight="1">
      <c r="C9" s="1800"/>
      <c r="D9" s="1800"/>
      <c r="E9" s="1800"/>
      <c r="F9" s="1800"/>
      <c r="G9" s="1801"/>
      <c r="H9" s="1801"/>
      <c r="I9" s="1800"/>
      <c r="J9" s="1800"/>
      <c r="K9" s="1800"/>
      <c r="L9" s="1801"/>
      <c r="M9" s="1801"/>
      <c r="Q9" s="1767"/>
      <c r="R9" s="1767"/>
      <c r="S9" s="1767"/>
      <c r="W9" s="1771"/>
      <c r="X9" s="1772"/>
      <c r="Y9" s="1772"/>
      <c r="Z9" s="1773"/>
      <c r="AA9" s="1777"/>
      <c r="AB9" s="1778"/>
      <c r="AC9" s="1778"/>
      <c r="AD9" s="1778"/>
      <c r="AE9" s="1778"/>
      <c r="AF9" s="1778"/>
      <c r="AG9" s="1778"/>
      <c r="AH9" s="1778"/>
      <c r="AI9" s="1779"/>
    </row>
    <row r="10" spans="2:41">
      <c r="C10" s="4"/>
      <c r="D10" s="4"/>
      <c r="E10" s="4"/>
      <c r="F10" s="4"/>
      <c r="G10" s="4"/>
      <c r="H10" s="4"/>
      <c r="I10" s="4"/>
      <c r="J10" s="4"/>
      <c r="K10" s="4"/>
    </row>
    <row r="11" spans="2:41">
      <c r="B11" s="1758" t="s">
        <v>397</v>
      </c>
      <c r="C11" s="1758"/>
      <c r="D11" s="1758"/>
      <c r="E11" s="1758"/>
      <c r="F11" s="1758"/>
      <c r="G11" s="1758"/>
      <c r="H11" s="1758"/>
      <c r="I11" s="1758"/>
      <c r="J11" s="1758"/>
      <c r="K11" s="1758"/>
      <c r="L11" s="1758"/>
      <c r="M11" s="1758"/>
      <c r="N11" s="1758"/>
      <c r="O11" s="1758"/>
      <c r="P11" s="1758"/>
      <c r="Q11" s="1758"/>
      <c r="R11" s="1758"/>
      <c r="S11" s="1758"/>
      <c r="T11" s="1758"/>
      <c r="U11" s="1758"/>
      <c r="V11" s="1758"/>
      <c r="W11" s="1758"/>
      <c r="X11" s="1758"/>
      <c r="Y11" s="1758"/>
      <c r="Z11" s="1758"/>
      <c r="AA11" s="1758"/>
      <c r="AB11" s="1758"/>
      <c r="AC11" s="1758"/>
      <c r="AD11" s="1758"/>
      <c r="AE11" s="1758"/>
      <c r="AF11" s="1758"/>
      <c r="AG11" s="1758"/>
      <c r="AH11" s="1758"/>
      <c r="AI11" s="1758"/>
    </row>
    <row r="12" spans="2:41" ht="14.25" customHeight="1">
      <c r="B12" s="1759" t="s">
        <v>759</v>
      </c>
      <c r="C12" s="1760"/>
      <c r="D12" s="1760"/>
      <c r="E12" s="1760"/>
      <c r="F12" s="1760"/>
      <c r="G12" s="1760"/>
      <c r="H12" s="1760"/>
      <c r="I12" s="1760"/>
      <c r="J12" s="1760"/>
      <c r="K12" s="1760"/>
      <c r="L12" s="1760"/>
      <c r="M12" s="1760"/>
      <c r="N12" s="1760"/>
      <c r="O12" s="1760"/>
      <c r="P12" s="1760"/>
      <c r="Q12" s="1760"/>
      <c r="R12" s="1760"/>
      <c r="S12" s="1760"/>
      <c r="T12" s="1760"/>
      <c r="U12" s="1760"/>
      <c r="V12" s="1760"/>
      <c r="W12" s="1760"/>
      <c r="X12" s="1760"/>
      <c r="Y12" s="1760"/>
      <c r="Z12" s="1760"/>
      <c r="AA12" s="1760"/>
      <c r="AB12" s="1760"/>
      <c r="AC12" s="1760"/>
      <c r="AD12" s="1760"/>
      <c r="AE12" s="1760"/>
      <c r="AF12" s="1760"/>
      <c r="AG12" s="1760"/>
      <c r="AH12" s="1760"/>
      <c r="AI12" s="1761"/>
    </row>
    <row r="13" spans="2:41" ht="14.25" customHeight="1">
      <c r="B13" s="1762"/>
      <c r="C13" s="1716"/>
      <c r="D13" s="1716"/>
      <c r="E13" s="1716"/>
      <c r="F13" s="1716"/>
      <c r="G13" s="1716"/>
      <c r="H13" s="1716"/>
      <c r="I13" s="1716"/>
      <c r="J13" s="1716"/>
      <c r="K13" s="1716"/>
      <c r="L13" s="1716"/>
      <c r="M13" s="1716"/>
      <c r="N13" s="1716"/>
      <c r="O13" s="1716"/>
      <c r="P13" s="1716"/>
      <c r="Q13" s="1716"/>
      <c r="R13" s="1716"/>
      <c r="S13" s="1716"/>
      <c r="T13" s="1716"/>
      <c r="U13" s="1716"/>
      <c r="V13" s="1716"/>
      <c r="W13" s="1716"/>
      <c r="X13" s="1716"/>
      <c r="Y13" s="1716"/>
      <c r="Z13" s="1716"/>
      <c r="AA13" s="1716"/>
      <c r="AB13" s="1716"/>
      <c r="AC13" s="1716"/>
      <c r="AD13" s="1716"/>
      <c r="AE13" s="1716"/>
      <c r="AF13" s="1716"/>
      <c r="AG13" s="1716"/>
      <c r="AH13" s="1716"/>
      <c r="AI13" s="1763"/>
    </row>
    <row r="14" spans="2:41" ht="14.25" customHeight="1">
      <c r="B14" s="1762"/>
      <c r="C14" s="1716"/>
      <c r="D14" s="1716"/>
      <c r="E14" s="1716"/>
      <c r="F14" s="1716"/>
      <c r="G14" s="1716"/>
      <c r="H14" s="1716"/>
      <c r="I14" s="1716"/>
      <c r="J14" s="1716"/>
      <c r="K14" s="1716"/>
      <c r="L14" s="1716"/>
      <c r="M14" s="1716"/>
      <c r="N14" s="1716"/>
      <c r="O14" s="1716"/>
      <c r="P14" s="1716"/>
      <c r="Q14" s="1716"/>
      <c r="R14" s="1716"/>
      <c r="S14" s="1716"/>
      <c r="T14" s="1716"/>
      <c r="U14" s="1716"/>
      <c r="V14" s="1716"/>
      <c r="W14" s="1716"/>
      <c r="X14" s="1716"/>
      <c r="Y14" s="1716"/>
      <c r="Z14" s="1716"/>
      <c r="AA14" s="1716"/>
      <c r="AB14" s="1716"/>
      <c r="AC14" s="1716"/>
      <c r="AD14" s="1716"/>
      <c r="AE14" s="1716"/>
      <c r="AF14" s="1716"/>
      <c r="AG14" s="1716"/>
      <c r="AH14" s="1716"/>
      <c r="AI14" s="1763"/>
    </row>
    <row r="15" spans="2:41">
      <c r="B15" s="1764"/>
      <c r="C15" s="1765"/>
      <c r="D15" s="1765"/>
      <c r="E15" s="1765"/>
      <c r="F15" s="1765"/>
      <c r="G15" s="1765"/>
      <c r="H15" s="1765"/>
      <c r="I15" s="1765"/>
      <c r="J15" s="1765"/>
      <c r="K15" s="1765"/>
      <c r="L15" s="1765"/>
      <c r="M15" s="1765"/>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6"/>
    </row>
    <row r="16" spans="2:41">
      <c r="E16" s="5"/>
      <c r="G16" s="5"/>
      <c r="H16" s="6"/>
    </row>
    <row r="17" spans="2:38" ht="14.25" customHeight="1">
      <c r="B17" s="1786" t="s">
        <v>398</v>
      </c>
      <c r="C17" s="1787"/>
      <c r="D17" s="1787"/>
      <c r="E17" s="1787"/>
      <c r="F17" s="1787"/>
      <c r="G17" s="1787"/>
      <c r="H17" s="1787"/>
      <c r="I17" s="1787"/>
      <c r="J17" s="1787"/>
      <c r="K17" s="1787"/>
      <c r="L17" s="1787"/>
      <c r="M17" s="1787"/>
      <c r="N17" s="1787"/>
      <c r="O17" s="1787"/>
      <c r="P17" s="1787"/>
      <c r="Q17" s="1787"/>
      <c r="R17" s="1787"/>
      <c r="S17" s="1787"/>
      <c r="T17" s="1787"/>
      <c r="U17" s="1787"/>
      <c r="V17" s="1787"/>
      <c r="W17" s="1787"/>
      <c r="X17" s="1787"/>
      <c r="Y17" s="1787"/>
      <c r="Z17" s="1787"/>
      <c r="AA17" s="1790" t="str">
        <f>IF(AA8="評価対象外",AA8,"")</f>
        <v>評価対象外</v>
      </c>
      <c r="AB17" s="1790"/>
      <c r="AC17" s="1790"/>
      <c r="AD17" s="1790"/>
      <c r="AE17" s="1790"/>
      <c r="AF17" s="1790"/>
      <c r="AG17" s="1790"/>
      <c r="AH17" s="1790"/>
      <c r="AI17" s="1791"/>
    </row>
    <row r="18" spans="2:38" ht="14.25" customHeight="1">
      <c r="B18" s="1788"/>
      <c r="C18" s="1789"/>
      <c r="D18" s="1789"/>
      <c r="E18" s="1789"/>
      <c r="F18" s="1789"/>
      <c r="G18" s="1789"/>
      <c r="H18" s="1789"/>
      <c r="I18" s="1789"/>
      <c r="J18" s="1789"/>
      <c r="K18" s="1789"/>
      <c r="L18" s="1789"/>
      <c r="M18" s="1789"/>
      <c r="N18" s="1789"/>
      <c r="O18" s="1789"/>
      <c r="P18" s="1789"/>
      <c r="Q18" s="1789"/>
      <c r="R18" s="1789"/>
      <c r="S18" s="1789"/>
      <c r="T18" s="1789"/>
      <c r="U18" s="1789"/>
      <c r="V18" s="1789"/>
      <c r="W18" s="1789"/>
      <c r="X18" s="1789"/>
      <c r="Y18" s="1789"/>
      <c r="Z18" s="1789"/>
      <c r="AA18" s="1792"/>
      <c r="AB18" s="1792"/>
      <c r="AC18" s="1792"/>
      <c r="AD18" s="1792"/>
      <c r="AE18" s="1792"/>
      <c r="AF18" s="1792"/>
      <c r="AG18" s="1792"/>
      <c r="AH18" s="1792"/>
      <c r="AI18" s="1793"/>
    </row>
    <row r="19" spans="2:38">
      <c r="B19" s="1758" t="s">
        <v>455</v>
      </c>
      <c r="C19" s="1758"/>
      <c r="D19" s="1758"/>
      <c r="E19" s="1758"/>
      <c r="F19" s="1758"/>
      <c r="G19" s="1758"/>
      <c r="H19" s="1758"/>
      <c r="I19" s="1758"/>
      <c r="J19" s="1758"/>
      <c r="K19" s="1758"/>
      <c r="L19" s="1758"/>
      <c r="M19" s="1758"/>
      <c r="N19" s="1758"/>
      <c r="O19" s="1758"/>
      <c r="P19" s="1758"/>
      <c r="Q19" s="1758"/>
      <c r="R19" s="1758"/>
      <c r="S19" s="1758"/>
      <c r="T19" s="1758"/>
      <c r="U19" s="1758"/>
      <c r="V19" s="1758"/>
      <c r="W19" s="1758"/>
      <c r="X19" s="1758"/>
      <c r="Y19" s="1758"/>
      <c r="Z19" s="1758"/>
      <c r="AA19" s="1758"/>
      <c r="AB19" s="1758"/>
      <c r="AC19" s="1758"/>
      <c r="AD19" s="1758"/>
      <c r="AE19" s="1758"/>
      <c r="AF19" s="1758"/>
      <c r="AG19" s="1758"/>
      <c r="AH19" s="1758"/>
      <c r="AI19" s="1758"/>
    </row>
    <row r="20" spans="2:38">
      <c r="B20" s="1780"/>
      <c r="C20" s="1781"/>
      <c r="D20" s="1781"/>
      <c r="E20" s="1781"/>
      <c r="F20" s="1781"/>
      <c r="G20" s="1781"/>
      <c r="H20" s="1782"/>
      <c r="AL20" s="3" t="s">
        <v>473</v>
      </c>
    </row>
    <row r="21" spans="2:38">
      <c r="B21" s="1783"/>
      <c r="C21" s="1784"/>
      <c r="D21" s="1784"/>
      <c r="E21" s="1784"/>
      <c r="F21" s="1784"/>
      <c r="G21" s="1784"/>
      <c r="H21" s="1785"/>
      <c r="AL21" s="25" t="s">
        <v>472</v>
      </c>
    </row>
    <row r="22" spans="2:38">
      <c r="B22" s="1758"/>
      <c r="C22" s="1758"/>
      <c r="D22" s="1758"/>
      <c r="E22" s="1758"/>
      <c r="F22" s="1758"/>
      <c r="G22" s="1758"/>
      <c r="H22" s="1758"/>
      <c r="I22" s="1758"/>
      <c r="J22" s="1758"/>
      <c r="K22" s="1758"/>
      <c r="L22" s="1758"/>
      <c r="M22" s="1758"/>
      <c r="N22" s="1758"/>
      <c r="O22" s="1758"/>
      <c r="P22" s="1758"/>
      <c r="Q22" s="1758"/>
      <c r="R22" s="1758"/>
      <c r="S22" s="1758"/>
      <c r="T22" s="1758"/>
      <c r="U22" s="1758"/>
      <c r="V22" s="1758"/>
      <c r="W22" s="1758"/>
      <c r="X22" s="1758"/>
      <c r="Y22" s="1758"/>
      <c r="Z22" s="1758"/>
      <c r="AA22" s="1758"/>
      <c r="AB22" s="1758"/>
      <c r="AC22" s="1758"/>
      <c r="AD22" s="1758"/>
      <c r="AE22" s="1758"/>
      <c r="AF22" s="1758"/>
      <c r="AG22" s="1758"/>
      <c r="AH22" s="1758"/>
      <c r="AI22" s="1758"/>
      <c r="AL22" s="3" t="s">
        <v>391</v>
      </c>
    </row>
    <row r="23" spans="2:38" ht="14.25" customHeight="1">
      <c r="C23" s="1715"/>
      <c r="D23" s="1715"/>
      <c r="E23" s="1715"/>
      <c r="F23" s="4"/>
      <c r="G23" s="1715"/>
      <c r="H23" s="1715"/>
      <c r="I23" s="1715"/>
      <c r="J23" s="1716"/>
      <c r="K23" s="1716"/>
      <c r="L23" s="1716"/>
      <c r="M23" s="1716"/>
      <c r="N23" s="1716"/>
      <c r="O23" s="1716"/>
      <c r="P23" s="1716"/>
      <c r="Q23" s="1716"/>
      <c r="R23" s="1716"/>
      <c r="S23" s="1716"/>
      <c r="T23" s="1716"/>
      <c r="U23" s="1716"/>
      <c r="V23" s="1716"/>
      <c r="W23" s="1716"/>
      <c r="X23" s="1716"/>
      <c r="Y23" s="1716"/>
      <c r="Z23" s="1716"/>
      <c r="AA23" s="1716"/>
      <c r="AB23" s="1716"/>
      <c r="AC23" s="1716"/>
      <c r="AD23" s="1716"/>
      <c r="AE23" s="1716"/>
      <c r="AF23" s="1716"/>
      <c r="AG23" s="1716"/>
      <c r="AH23" s="1716"/>
      <c r="AI23" s="1716"/>
      <c r="AL23" s="3" t="s">
        <v>392</v>
      </c>
    </row>
    <row r="24" spans="2:38">
      <c r="J24" s="1716"/>
      <c r="K24" s="1716"/>
      <c r="L24" s="1716"/>
      <c r="M24" s="1716"/>
      <c r="N24" s="1716"/>
      <c r="O24" s="1716"/>
      <c r="P24" s="1716"/>
      <c r="Q24" s="1716"/>
      <c r="R24" s="1716"/>
      <c r="S24" s="1716"/>
      <c r="T24" s="1716"/>
      <c r="U24" s="1716"/>
      <c r="V24" s="1716"/>
      <c r="W24" s="1716"/>
      <c r="X24" s="1716"/>
      <c r="Y24" s="1716"/>
      <c r="Z24" s="1716"/>
      <c r="AA24" s="1716"/>
      <c r="AB24" s="1716"/>
      <c r="AC24" s="1716"/>
      <c r="AD24" s="1716"/>
      <c r="AE24" s="1716"/>
      <c r="AF24" s="1716"/>
      <c r="AG24" s="1716"/>
      <c r="AH24" s="1716"/>
      <c r="AI24" s="1716"/>
    </row>
    <row r="25" spans="2:38">
      <c r="B25" s="49" t="str">
        <f>IF(AA8="評価対象外",AL31,IF(B20=AL22,AL26&amp;F29-1&amp;AL27,IF(B20=AL23,AL29,"")))</f>
        <v>★以下の項目は入力不要です。</v>
      </c>
      <c r="AL25" s="3" t="s">
        <v>474</v>
      </c>
    </row>
    <row r="26" spans="2:38">
      <c r="B26" s="1721"/>
      <c r="C26" s="1722"/>
      <c r="D26" s="1722"/>
      <c r="E26" s="1722"/>
      <c r="F26" s="1722"/>
      <c r="G26" s="1722"/>
      <c r="H26" s="1722"/>
      <c r="I26" s="1722"/>
      <c r="J26" s="1737" t="s">
        <v>399</v>
      </c>
      <c r="K26" s="1722"/>
      <c r="L26" s="1722"/>
      <c r="M26" s="1722"/>
      <c r="N26" s="1722"/>
      <c r="O26" s="1722"/>
      <c r="P26" s="1723"/>
      <c r="Q26" s="1721" t="s">
        <v>419</v>
      </c>
      <c r="R26" s="1722"/>
      <c r="S26" s="1722"/>
      <c r="T26" s="1722"/>
      <c r="U26" s="1722"/>
      <c r="V26" s="1722"/>
      <c r="W26" s="1722"/>
      <c r="X26" s="1723"/>
      <c r="AL26" s="3" t="s">
        <v>695</v>
      </c>
    </row>
    <row r="27" spans="2:38" ht="14.25" customHeight="1">
      <c r="B27" s="1728" t="s">
        <v>456</v>
      </c>
      <c r="C27" s="1717"/>
      <c r="D27" s="1717"/>
      <c r="E27" s="1718"/>
      <c r="F27" s="1742"/>
      <c r="G27" s="1743"/>
      <c r="H27" s="1743"/>
      <c r="I27" s="1744"/>
      <c r="J27" s="1748"/>
      <c r="K27" s="1749"/>
      <c r="L27" s="1749"/>
      <c r="M27" s="1749"/>
      <c r="N27" s="1749"/>
      <c r="O27" s="1717" t="s">
        <v>128</v>
      </c>
      <c r="P27" s="1718"/>
      <c r="Q27" s="1752"/>
      <c r="R27" s="1753"/>
      <c r="S27" s="1753"/>
      <c r="T27" s="1753"/>
      <c r="U27" s="1717" t="s">
        <v>405</v>
      </c>
      <c r="V27" s="1717"/>
      <c r="W27" s="1717"/>
      <c r="X27" s="1718"/>
      <c r="Z27" s="1756"/>
      <c r="AA27" s="1756"/>
      <c r="AB27" s="26"/>
      <c r="AC27" s="26"/>
      <c r="AD27" s="26"/>
      <c r="AE27" s="26"/>
      <c r="AF27" s="26"/>
      <c r="AG27" s="26"/>
      <c r="AH27" s="26"/>
      <c r="AI27" s="26"/>
      <c r="AL27" s="3" t="s">
        <v>696</v>
      </c>
    </row>
    <row r="28" spans="2:38" ht="14.25" customHeight="1">
      <c r="B28" s="1729"/>
      <c r="C28" s="1719"/>
      <c r="D28" s="1719"/>
      <c r="E28" s="1720"/>
      <c r="F28" s="1745"/>
      <c r="G28" s="1746"/>
      <c r="H28" s="1746"/>
      <c r="I28" s="1747"/>
      <c r="J28" s="1750"/>
      <c r="K28" s="1751"/>
      <c r="L28" s="1751"/>
      <c r="M28" s="1751"/>
      <c r="N28" s="1751"/>
      <c r="O28" s="1719"/>
      <c r="P28" s="1720"/>
      <c r="Q28" s="1754"/>
      <c r="R28" s="1755"/>
      <c r="S28" s="1755"/>
      <c r="T28" s="1755"/>
      <c r="U28" s="1719"/>
      <c r="V28" s="1719"/>
      <c r="W28" s="1719"/>
      <c r="X28" s="1720"/>
      <c r="Z28" s="1757"/>
      <c r="AA28" s="1757"/>
      <c r="AB28" s="1757"/>
      <c r="AC28" s="1757"/>
      <c r="AD28" s="1757"/>
      <c r="AE28" s="1757"/>
      <c r="AF28" s="1757"/>
      <c r="AG28" s="1757"/>
      <c r="AH28" s="1757"/>
      <c r="AI28" s="1757"/>
    </row>
    <row r="29" spans="2:38" ht="14.25" customHeight="1">
      <c r="B29" s="1728" t="s">
        <v>393</v>
      </c>
      <c r="C29" s="1717"/>
      <c r="D29" s="1717"/>
      <c r="E29" s="1718"/>
      <c r="F29" s="1730">
        <f>その1!H4-1</f>
        <v>2025</v>
      </c>
      <c r="G29" s="1731"/>
      <c r="H29" s="1731"/>
      <c r="I29" s="1732"/>
      <c r="J29" s="1724">
        <f>IF('その5（非公表）'!P62="","",'その5（非公表）'!P62)</f>
        <v>0</v>
      </c>
      <c r="K29" s="1725"/>
      <c r="L29" s="1725"/>
      <c r="M29" s="1725"/>
      <c r="N29" s="1725"/>
      <c r="O29" s="1717" t="s">
        <v>406</v>
      </c>
      <c r="P29" s="1718"/>
      <c r="Q29" s="1738" t="str">
        <f>IF(その1!AD20="","",ROUND(J29/その1!AD20*1000,1))</f>
        <v/>
      </c>
      <c r="R29" s="1739"/>
      <c r="S29" s="1739"/>
      <c r="T29" s="1739"/>
      <c r="U29" s="1717" t="s">
        <v>405</v>
      </c>
      <c r="V29" s="1717"/>
      <c r="W29" s="1717"/>
      <c r="X29" s="1718"/>
      <c r="AL29" s="3" t="s">
        <v>475</v>
      </c>
    </row>
    <row r="30" spans="2:38" ht="14.25" customHeight="1">
      <c r="B30" s="1729"/>
      <c r="C30" s="1719"/>
      <c r="D30" s="1719"/>
      <c r="E30" s="1720"/>
      <c r="F30" s="1733"/>
      <c r="G30" s="1734"/>
      <c r="H30" s="1734"/>
      <c r="I30" s="1735"/>
      <c r="J30" s="1726"/>
      <c r="K30" s="1727"/>
      <c r="L30" s="1727"/>
      <c r="M30" s="1727"/>
      <c r="N30" s="1727"/>
      <c r="O30" s="1719"/>
      <c r="P30" s="1720"/>
      <c r="Q30" s="1740"/>
      <c r="R30" s="1741"/>
      <c r="S30" s="1741"/>
      <c r="T30" s="1741"/>
      <c r="U30" s="1719"/>
      <c r="V30" s="1719"/>
      <c r="W30" s="1719"/>
      <c r="X30" s="1720"/>
    </row>
    <row r="31" spans="2:38" ht="14.25" customHeight="1">
      <c r="B31" s="1736" t="s">
        <v>421</v>
      </c>
      <c r="C31" s="1736"/>
      <c r="D31" s="1736"/>
      <c r="E31" s="1736"/>
      <c r="F31" s="1736"/>
      <c r="G31" s="1736"/>
      <c r="H31" s="1736"/>
      <c r="I31" s="1736"/>
      <c r="J31" s="1736"/>
      <c r="K31" s="1736"/>
      <c r="L31" s="1736"/>
      <c r="M31" s="1736"/>
      <c r="N31" s="1736"/>
      <c r="O31" s="1736"/>
      <c r="P31" s="1736"/>
      <c r="Q31" s="1736"/>
      <c r="R31" s="1736"/>
      <c r="S31" s="1736"/>
      <c r="T31" s="1736"/>
      <c r="U31" s="1736"/>
      <c r="V31" s="1736"/>
      <c r="W31" s="1736"/>
      <c r="X31" s="1736"/>
      <c r="Y31" s="1736"/>
      <c r="Z31" s="1736"/>
      <c r="AA31" s="1736"/>
      <c r="AB31" s="1736"/>
      <c r="AC31" s="1736"/>
      <c r="AD31" s="1736"/>
      <c r="AE31" s="1736"/>
      <c r="AF31" s="1736"/>
      <c r="AG31" s="1736"/>
      <c r="AH31" s="1736"/>
      <c r="AI31" s="1736"/>
      <c r="AL31" s="3" t="s">
        <v>476</v>
      </c>
    </row>
    <row r="32" spans="2:38" ht="14.25" customHeight="1">
      <c r="B32" s="1714" t="s">
        <v>422</v>
      </c>
      <c r="C32" s="1714"/>
      <c r="D32" s="1714"/>
      <c r="E32" s="1714"/>
      <c r="F32" s="1714"/>
      <c r="G32" s="1714"/>
      <c r="H32" s="1714"/>
      <c r="I32" s="1714"/>
      <c r="J32" s="1714"/>
      <c r="K32" s="1714"/>
      <c r="L32" s="1714"/>
      <c r="M32" s="1714"/>
      <c r="N32" s="1714"/>
      <c r="O32" s="1714"/>
      <c r="P32" s="1714"/>
      <c r="Q32" s="1714"/>
      <c r="R32" s="1714"/>
      <c r="S32" s="1714"/>
      <c r="T32" s="1714"/>
      <c r="U32" s="1714"/>
      <c r="V32" s="1714"/>
      <c r="W32" s="1714"/>
      <c r="X32" s="1714"/>
      <c r="Y32" s="1714"/>
      <c r="Z32" s="1714"/>
      <c r="AA32" s="1714"/>
      <c r="AB32" s="1714"/>
      <c r="AC32" s="1714"/>
      <c r="AD32" s="1714"/>
      <c r="AE32" s="1714"/>
      <c r="AF32" s="1714"/>
      <c r="AG32" s="1714"/>
      <c r="AH32" s="1714"/>
      <c r="AI32" s="1714"/>
    </row>
    <row r="33" spans="2:42" ht="14.25" customHeight="1">
      <c r="B33" s="4"/>
      <c r="C33" s="4"/>
      <c r="D33" s="4"/>
      <c r="E33" s="4"/>
      <c r="F33" s="8"/>
      <c r="G33" s="8"/>
      <c r="H33" s="8"/>
      <c r="I33" s="8"/>
      <c r="J33" s="7"/>
      <c r="K33" s="7"/>
      <c r="L33" s="7"/>
      <c r="M33" s="7"/>
      <c r="N33" s="7"/>
      <c r="O33" s="4"/>
      <c r="P33" s="4"/>
      <c r="Q33" s="7"/>
      <c r="R33" s="7"/>
      <c r="S33" s="7"/>
      <c r="T33" s="7"/>
      <c r="U33" s="4"/>
      <c r="V33" s="4"/>
      <c r="W33" s="4"/>
      <c r="X33" s="4"/>
    </row>
    <row r="34" spans="2:42" ht="14.25" customHeight="1">
      <c r="B34" s="1758" t="s">
        <v>408</v>
      </c>
      <c r="C34" s="1758"/>
      <c r="D34" s="1758"/>
      <c r="E34" s="1758"/>
      <c r="F34" s="1758"/>
      <c r="G34" s="1758"/>
      <c r="H34" s="1758"/>
      <c r="I34" s="1758"/>
      <c r="J34" s="1758"/>
      <c r="K34" s="1758"/>
      <c r="L34" s="1758"/>
      <c r="M34" s="1758"/>
      <c r="N34" s="1758"/>
      <c r="O34" s="1758"/>
      <c r="P34" s="1758"/>
      <c r="Q34" s="1758"/>
      <c r="R34" s="1758"/>
      <c r="S34" s="1758"/>
      <c r="T34" s="1758"/>
      <c r="U34" s="1758"/>
      <c r="V34" s="1758"/>
      <c r="W34" s="1758"/>
      <c r="X34" s="1758"/>
      <c r="Y34" s="1758"/>
      <c r="Z34" s="1758"/>
      <c r="AA34" s="1758"/>
      <c r="AB34" s="1758"/>
      <c r="AC34" s="1758"/>
      <c r="AD34" s="1758"/>
      <c r="AE34" s="1758"/>
      <c r="AF34" s="1758"/>
      <c r="AG34" s="1758"/>
      <c r="AH34" s="1758"/>
      <c r="AI34" s="1758"/>
      <c r="AJ34" s="1758"/>
    </row>
    <row r="35" spans="2:42" ht="14.25" customHeight="1">
      <c r="B35" s="1721"/>
      <c r="C35" s="1722"/>
      <c r="D35" s="1722"/>
      <c r="E35" s="1722"/>
      <c r="F35" s="1722"/>
      <c r="G35" s="1722"/>
      <c r="H35" s="1722"/>
      <c r="I35" s="1722"/>
      <c r="J35" s="1820" t="s">
        <v>407</v>
      </c>
      <c r="K35" s="1821"/>
      <c r="L35" s="1821"/>
      <c r="M35" s="1821"/>
      <c r="N35" s="1821"/>
      <c r="O35" s="1821"/>
      <c r="P35" s="1822"/>
      <c r="Q35" s="1823" t="s">
        <v>420</v>
      </c>
      <c r="R35" s="1821"/>
      <c r="S35" s="1821"/>
      <c r="T35" s="1821"/>
      <c r="U35" s="1821"/>
      <c r="V35" s="1821"/>
      <c r="W35" s="1821"/>
      <c r="X35" s="1822"/>
    </row>
    <row r="36" spans="2:42" ht="14.25" customHeight="1">
      <c r="B36" s="1728" t="s">
        <v>457</v>
      </c>
      <c r="C36" s="1717"/>
      <c r="D36" s="1717"/>
      <c r="E36" s="1717"/>
      <c r="F36" s="1717"/>
      <c r="G36" s="1717"/>
      <c r="H36" s="1717"/>
      <c r="I36" s="1717"/>
      <c r="J36" s="1830" t="str">
        <f>IF(AN8&gt;=1,IFERROR(1-(J29/J27),"-"),"")</f>
        <v/>
      </c>
      <c r="K36" s="1825"/>
      <c r="L36" s="1825"/>
      <c r="M36" s="1825"/>
      <c r="N36" s="1825"/>
      <c r="O36" s="1825"/>
      <c r="P36" s="1826"/>
      <c r="Q36" s="1824" t="str">
        <f>IF(AN8&gt;=1,IFERROR(1-(Q29/Q27),"-"),"")</f>
        <v/>
      </c>
      <c r="R36" s="1825"/>
      <c r="S36" s="1825"/>
      <c r="T36" s="1825"/>
      <c r="U36" s="1825"/>
      <c r="V36" s="1825"/>
      <c r="W36" s="1825"/>
      <c r="X36" s="1826"/>
      <c r="AM36" s="3" t="s">
        <v>597</v>
      </c>
      <c r="AN36" s="3">
        <f>IF(ISNUMBER(AA40),1,0)</f>
        <v>0</v>
      </c>
      <c r="AO36" s="4" t="str">
        <f>IF(ISNUMBER(AN37),IF(AN37&gt;=AM57,"○",""),"")</f>
        <v/>
      </c>
    </row>
    <row r="37" spans="2:42" ht="14.25" customHeight="1">
      <c r="B37" s="1729"/>
      <c r="C37" s="1719"/>
      <c r="D37" s="1719"/>
      <c r="E37" s="1719"/>
      <c r="F37" s="1719"/>
      <c r="G37" s="1719"/>
      <c r="H37" s="1719"/>
      <c r="I37" s="1719"/>
      <c r="J37" s="1831"/>
      <c r="K37" s="1828"/>
      <c r="L37" s="1828"/>
      <c r="M37" s="1828"/>
      <c r="N37" s="1828"/>
      <c r="O37" s="1828"/>
      <c r="P37" s="1829"/>
      <c r="Q37" s="1827"/>
      <c r="R37" s="1828"/>
      <c r="S37" s="1828"/>
      <c r="T37" s="1828"/>
      <c r="U37" s="1828"/>
      <c r="V37" s="1828"/>
      <c r="W37" s="1828"/>
      <c r="X37" s="1829"/>
      <c r="AM37" s="76" t="s">
        <v>423</v>
      </c>
      <c r="AN37" s="77" t="str">
        <f>J36</f>
        <v/>
      </c>
    </row>
    <row r="38" spans="2:42">
      <c r="AM38" s="78" t="s">
        <v>419</v>
      </c>
      <c r="AN38" s="79" t="str">
        <f>Q36</f>
        <v/>
      </c>
    </row>
    <row r="39" spans="2:42">
      <c r="B39" s="1758" t="s">
        <v>409</v>
      </c>
      <c r="C39" s="1758"/>
      <c r="D39" s="1758"/>
      <c r="E39" s="1758"/>
      <c r="F39" s="1758"/>
      <c r="G39" s="1758"/>
      <c r="H39" s="1758"/>
      <c r="I39" s="1758"/>
      <c r="J39" s="1758"/>
      <c r="K39" s="1758"/>
      <c r="L39" s="1758"/>
      <c r="M39" s="1758"/>
      <c r="N39" s="1758"/>
      <c r="O39" s="1758"/>
      <c r="P39" s="1758"/>
      <c r="Q39" s="1758"/>
      <c r="R39" s="1758"/>
      <c r="S39" s="1758"/>
      <c r="T39" s="1758"/>
      <c r="U39" s="1758"/>
      <c r="V39" s="1758"/>
      <c r="W39" s="1758"/>
      <c r="X39" s="1758"/>
      <c r="Y39" s="1758"/>
      <c r="Z39" s="1758"/>
      <c r="AA39" s="1758"/>
      <c r="AB39" s="1758"/>
      <c r="AC39" s="1758"/>
      <c r="AD39" s="1758"/>
      <c r="AE39" s="1758"/>
      <c r="AF39" s="1758"/>
      <c r="AG39" s="1758"/>
      <c r="AH39" s="1758"/>
      <c r="AI39" s="1758"/>
      <c r="AJ39" s="1758"/>
      <c r="AM39" s="78" t="s">
        <v>414</v>
      </c>
      <c r="AN39" s="80" t="str">
        <f>Q40</f>
        <v>無</v>
      </c>
    </row>
    <row r="40" spans="2:42" ht="14.25" customHeight="1">
      <c r="B40" s="1803" t="s">
        <v>410</v>
      </c>
      <c r="C40" s="1769"/>
      <c r="D40" s="1769"/>
      <c r="E40" s="1770"/>
      <c r="F40" s="1804" t="str">
        <f>IFERROR(VLOOKUP("○",AO47:AP57,2,FALSE),"-")</f>
        <v>-</v>
      </c>
      <c r="G40" s="1805"/>
      <c r="H40" s="1805"/>
      <c r="I40" s="1692" t="s">
        <v>411</v>
      </c>
      <c r="J40" s="1767" t="s">
        <v>395</v>
      </c>
      <c r="K40" s="1767"/>
      <c r="L40" s="1767"/>
      <c r="M40" s="1808" t="s">
        <v>412</v>
      </c>
      <c r="N40" s="1809"/>
      <c r="O40" s="1809"/>
      <c r="P40" s="1810"/>
      <c r="Q40" s="1814" t="str">
        <f>IF(Q36="-","",IF(J36&lt;0,IF(Q36&gt;=0,"有","無"),"無"))</f>
        <v>無</v>
      </c>
      <c r="R40" s="1815"/>
      <c r="S40" s="1816"/>
      <c r="T40" s="1767" t="s">
        <v>395</v>
      </c>
      <c r="U40" s="1767"/>
      <c r="V40" s="1767"/>
      <c r="W40" s="1803" t="s">
        <v>410</v>
      </c>
      <c r="X40" s="1769"/>
      <c r="Y40" s="1769"/>
      <c r="Z40" s="1770"/>
      <c r="AA40" s="1832" t="str">
        <f>IF(AND(F40&lt;AN41,AN40=1),AN41,F40)</f>
        <v>-</v>
      </c>
      <c r="AB40" s="1833"/>
      <c r="AC40" s="1833"/>
      <c r="AD40" s="1833"/>
      <c r="AE40" s="1833"/>
      <c r="AF40" s="1833"/>
      <c r="AG40" s="1833"/>
      <c r="AH40" s="1833"/>
      <c r="AI40" s="1692" t="s">
        <v>411</v>
      </c>
      <c r="AM40" s="78"/>
      <c r="AN40" s="80">
        <f>IF(COUNTIF(Q40, "*有*"), 1, 0)</f>
        <v>0</v>
      </c>
      <c r="AO40" s="3" t="s">
        <v>596</v>
      </c>
    </row>
    <row r="41" spans="2:42" ht="14.25" customHeight="1">
      <c r="B41" s="1771"/>
      <c r="C41" s="1772"/>
      <c r="D41" s="1772"/>
      <c r="E41" s="1773"/>
      <c r="F41" s="1806"/>
      <c r="G41" s="1807"/>
      <c r="H41" s="1807"/>
      <c r="I41" s="1693"/>
      <c r="J41" s="1767"/>
      <c r="K41" s="1767"/>
      <c r="L41" s="1767"/>
      <c r="M41" s="1811"/>
      <c r="N41" s="1812"/>
      <c r="O41" s="1812"/>
      <c r="P41" s="1813"/>
      <c r="Q41" s="1817"/>
      <c r="R41" s="1818"/>
      <c r="S41" s="1819"/>
      <c r="T41" s="1767"/>
      <c r="U41" s="1767"/>
      <c r="V41" s="1767"/>
      <c r="W41" s="1771"/>
      <c r="X41" s="1772"/>
      <c r="Y41" s="1772"/>
      <c r="Z41" s="1773"/>
      <c r="AA41" s="1834"/>
      <c r="AB41" s="1835"/>
      <c r="AC41" s="1835"/>
      <c r="AD41" s="1835"/>
      <c r="AE41" s="1835"/>
      <c r="AF41" s="1835"/>
      <c r="AG41" s="1835"/>
      <c r="AH41" s="1835"/>
      <c r="AI41" s="1693"/>
      <c r="AM41" s="78"/>
      <c r="AN41" s="81">
        <f>AP48*AN40</f>
        <v>0</v>
      </c>
      <c r="AO41" s="3" t="s">
        <v>599</v>
      </c>
    </row>
    <row r="42" spans="2:42" ht="14.25" customHeight="1">
      <c r="I42" s="5" t="s">
        <v>413</v>
      </c>
      <c r="S42" s="5" t="s">
        <v>414</v>
      </c>
      <c r="AI42" s="5" t="s">
        <v>415</v>
      </c>
      <c r="AM42" s="82" t="s">
        <v>767</v>
      </c>
      <c r="AN42" s="83">
        <f>IF(AND(AN8=1,AN36=1,AA40&gt;=21),1,0)</f>
        <v>0</v>
      </c>
      <c r="AO42" s="3" t="s">
        <v>768</v>
      </c>
    </row>
    <row r="43" spans="2:42" ht="14.25" customHeight="1"/>
    <row r="44" spans="2:42">
      <c r="B44" s="1758" t="s">
        <v>416</v>
      </c>
      <c r="C44" s="1758"/>
      <c r="D44" s="1758"/>
      <c r="E44" s="1758"/>
      <c r="F44" s="1758"/>
      <c r="G44" s="1758"/>
      <c r="H44" s="1758"/>
      <c r="I44" s="1758"/>
      <c r="J44" s="1758"/>
      <c r="K44" s="1758"/>
      <c r="L44" s="1758"/>
      <c r="M44" s="1758"/>
      <c r="N44" s="1758"/>
      <c r="O44" s="1758"/>
      <c r="P44" s="1758"/>
      <c r="Q44" s="1758"/>
      <c r="R44" s="1758"/>
      <c r="S44" s="1758"/>
      <c r="T44" s="1758"/>
      <c r="U44" s="1758"/>
      <c r="V44" s="1758"/>
      <c r="W44" s="1758"/>
      <c r="X44" s="1758"/>
      <c r="Y44" s="1758"/>
      <c r="Z44" s="1758"/>
      <c r="AA44" s="1758"/>
      <c r="AB44" s="1758"/>
      <c r="AC44" s="1758"/>
      <c r="AD44" s="1758"/>
      <c r="AE44" s="1758"/>
      <c r="AF44" s="1758"/>
      <c r="AG44" s="1758"/>
      <c r="AH44" s="1758"/>
      <c r="AI44" s="1758"/>
    </row>
    <row r="45" spans="2:42">
      <c r="B45" s="1836" t="s">
        <v>458</v>
      </c>
      <c r="C45" s="1837"/>
      <c r="D45" s="1837"/>
      <c r="E45" s="1837"/>
      <c r="F45" s="1837"/>
      <c r="G45" s="1837"/>
      <c r="H45" s="1837"/>
      <c r="I45" s="1837"/>
      <c r="J45" s="1837"/>
      <c r="K45" s="1837"/>
      <c r="L45" s="1837"/>
      <c r="M45" s="1837"/>
      <c r="N45" s="1837"/>
      <c r="O45" s="1837"/>
      <c r="P45" s="1837"/>
      <c r="Q45" s="1837"/>
      <c r="R45" s="1837"/>
      <c r="S45" s="1837"/>
      <c r="T45" s="1837"/>
      <c r="U45" s="1837"/>
      <c r="V45" s="1837"/>
      <c r="W45" s="1837"/>
      <c r="X45" s="1837"/>
      <c r="Y45" s="1837"/>
      <c r="Z45" s="1837"/>
      <c r="AA45" s="1837"/>
      <c r="AB45" s="1837"/>
      <c r="AC45" s="1837"/>
      <c r="AD45" s="1837"/>
      <c r="AE45" s="1837"/>
      <c r="AF45" s="1837"/>
      <c r="AG45" s="1837"/>
      <c r="AH45" s="1837"/>
      <c r="AI45" s="1838"/>
      <c r="AM45" s="48" t="s">
        <v>591</v>
      </c>
      <c r="AN45" s="42"/>
      <c r="AO45" s="43" t="s">
        <v>600</v>
      </c>
      <c r="AP45" s="43" t="s">
        <v>585</v>
      </c>
    </row>
    <row r="46" spans="2:42">
      <c r="B46" s="9"/>
      <c r="AI46" s="10"/>
      <c r="AM46" s="32" t="s">
        <v>586</v>
      </c>
      <c r="AN46" s="32" t="s">
        <v>587</v>
      </c>
      <c r="AO46" s="44"/>
      <c r="AP46" s="44"/>
    </row>
    <row r="47" spans="2:42">
      <c r="B47" s="9"/>
      <c r="D47" s="1839" t="s">
        <v>417</v>
      </c>
      <c r="E47" s="1840"/>
      <c r="F47" s="1840"/>
      <c r="G47" s="1840"/>
      <c r="H47" s="1840"/>
      <c r="I47" s="1840"/>
      <c r="J47" s="1840"/>
      <c r="K47" s="1840"/>
      <c r="L47" s="1840"/>
      <c r="M47" s="1840"/>
      <c r="N47" s="1840"/>
      <c r="O47" s="1840"/>
      <c r="P47" s="1840"/>
      <c r="Q47" s="1840"/>
      <c r="R47" s="1840"/>
      <c r="S47" s="1840"/>
      <c r="T47" s="1840"/>
      <c r="U47" s="1840"/>
      <c r="V47" s="1840"/>
      <c r="W47" s="1840"/>
      <c r="X47" s="1840"/>
      <c r="Y47" s="1840"/>
      <c r="Z47" s="1840"/>
      <c r="AA47" s="1840"/>
      <c r="AB47" s="1840"/>
      <c r="AC47" s="1840"/>
      <c r="AD47" s="1840"/>
      <c r="AE47" s="1840"/>
      <c r="AF47" s="1840"/>
      <c r="AG47" s="1841"/>
      <c r="AI47" s="10"/>
      <c r="AM47" s="36" t="s">
        <v>588</v>
      </c>
      <c r="AN47" s="33">
        <v>0</v>
      </c>
      <c r="AO47" s="39" t="str">
        <f>IF($AN37&lt;$AN$47,"○","")</f>
        <v/>
      </c>
      <c r="AP47" s="45">
        <v>0</v>
      </c>
    </row>
    <row r="48" spans="2:42" ht="14.25" customHeight="1">
      <c r="B48" s="9"/>
      <c r="D48" s="1842" t="s">
        <v>533</v>
      </c>
      <c r="E48" s="1843"/>
      <c r="F48" s="1843"/>
      <c r="G48" s="1843"/>
      <c r="H48" s="1843"/>
      <c r="I48" s="1843"/>
      <c r="J48" s="1843"/>
      <c r="K48" s="1843"/>
      <c r="L48" s="1843"/>
      <c r="M48" s="1843"/>
      <c r="N48" s="1843"/>
      <c r="O48" s="1843"/>
      <c r="P48" s="1843"/>
      <c r="Q48" s="1843"/>
      <c r="R48" s="1843"/>
      <c r="S48" s="1843"/>
      <c r="T48" s="1843"/>
      <c r="U48" s="1843"/>
      <c r="V48" s="1843"/>
      <c r="W48" s="1843"/>
      <c r="X48" s="1843"/>
      <c r="Y48" s="1843"/>
      <c r="Z48" s="1843"/>
      <c r="AA48" s="1843"/>
      <c r="AB48" s="1843"/>
      <c r="AC48" s="1843"/>
      <c r="AD48" s="1843"/>
      <c r="AE48" s="1843"/>
      <c r="AF48" s="1843"/>
      <c r="AG48" s="1844"/>
      <c r="AI48" s="10"/>
      <c r="AM48" s="37">
        <v>0</v>
      </c>
      <c r="AN48" s="34">
        <v>0.1</v>
      </c>
      <c r="AO48" s="40" t="str">
        <f t="shared" ref="AO48:AO56" si="0">IF(AND($AN$37&gt;=$AM48,$AN$37&lt;$AN48),"○","")</f>
        <v/>
      </c>
      <c r="AP48" s="46">
        <v>3</v>
      </c>
    </row>
    <row r="49" spans="2:42">
      <c r="B49" s="9"/>
      <c r="D49" s="1845"/>
      <c r="E49" s="1846"/>
      <c r="F49" s="1846"/>
      <c r="G49" s="1846"/>
      <c r="H49" s="1846"/>
      <c r="I49" s="1846"/>
      <c r="J49" s="1846"/>
      <c r="K49" s="1846"/>
      <c r="L49" s="1846"/>
      <c r="M49" s="1846"/>
      <c r="N49" s="1846"/>
      <c r="O49" s="1846"/>
      <c r="P49" s="1846"/>
      <c r="Q49" s="1846"/>
      <c r="R49" s="1846"/>
      <c r="S49" s="1846"/>
      <c r="T49" s="1846"/>
      <c r="U49" s="1846"/>
      <c r="V49" s="1846"/>
      <c r="W49" s="1846"/>
      <c r="X49" s="1846"/>
      <c r="Y49" s="1846"/>
      <c r="Z49" s="1846"/>
      <c r="AA49" s="1846"/>
      <c r="AB49" s="1846"/>
      <c r="AC49" s="1846"/>
      <c r="AD49" s="1846"/>
      <c r="AE49" s="1846"/>
      <c r="AF49" s="1846"/>
      <c r="AG49" s="1847"/>
      <c r="AI49" s="10"/>
      <c r="AM49" s="37">
        <v>0.1</v>
      </c>
      <c r="AN49" s="34">
        <v>0.2</v>
      </c>
      <c r="AO49" s="40" t="str">
        <f t="shared" si="0"/>
        <v/>
      </c>
      <c r="AP49" s="46">
        <v>6</v>
      </c>
    </row>
    <row r="50" spans="2:42" ht="14.25" customHeight="1">
      <c r="B50" s="9"/>
      <c r="D50" s="1684">
        <v>0</v>
      </c>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2"/>
      <c r="AI50" s="10"/>
      <c r="AM50" s="37">
        <v>0.2</v>
      </c>
      <c r="AN50" s="34">
        <v>0.3</v>
      </c>
      <c r="AO50" s="40" t="str">
        <f t="shared" si="0"/>
        <v/>
      </c>
      <c r="AP50" s="46">
        <v>9</v>
      </c>
    </row>
    <row r="51" spans="2:42" ht="14.25" customHeight="1">
      <c r="B51" s="9"/>
      <c r="D51" s="1685"/>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5"/>
      <c r="AI51" s="10"/>
      <c r="AM51" s="37">
        <v>0.3</v>
      </c>
      <c r="AN51" s="34">
        <v>0.4</v>
      </c>
      <c r="AO51" s="40" t="str">
        <f t="shared" si="0"/>
        <v/>
      </c>
      <c r="AP51" s="46">
        <v>12</v>
      </c>
    </row>
    <row r="52" spans="2:42" ht="14.25" customHeight="1">
      <c r="B52" s="9"/>
      <c r="D52" s="1676" t="s">
        <v>534</v>
      </c>
      <c r="E52" s="1677"/>
      <c r="F52" s="1677"/>
      <c r="G52" s="1677"/>
      <c r="H52" s="1677"/>
      <c r="I52" s="1678"/>
      <c r="J52" s="1682" t="s">
        <v>535</v>
      </c>
      <c r="K52" s="1677"/>
      <c r="L52" s="1677"/>
      <c r="M52" s="1677"/>
      <c r="N52" s="1677"/>
      <c r="O52" s="1678"/>
      <c r="P52" s="1682" t="s">
        <v>536</v>
      </c>
      <c r="Q52" s="1677"/>
      <c r="R52" s="1677"/>
      <c r="S52" s="1677"/>
      <c r="T52" s="1677"/>
      <c r="U52" s="1678"/>
      <c r="V52" s="1682" t="s">
        <v>537</v>
      </c>
      <c r="W52" s="1677"/>
      <c r="X52" s="1677"/>
      <c r="Y52" s="1677"/>
      <c r="Z52" s="1677"/>
      <c r="AA52" s="1678"/>
      <c r="AB52" s="1682" t="s">
        <v>538</v>
      </c>
      <c r="AC52" s="1677"/>
      <c r="AD52" s="1677"/>
      <c r="AE52" s="1677"/>
      <c r="AF52" s="1677"/>
      <c r="AG52" s="1678"/>
      <c r="AI52" s="10"/>
      <c r="AM52" s="37">
        <v>0.4</v>
      </c>
      <c r="AN52" s="34">
        <v>0.45</v>
      </c>
      <c r="AO52" s="40" t="str">
        <f t="shared" si="0"/>
        <v/>
      </c>
      <c r="AP52" s="46">
        <v>15</v>
      </c>
    </row>
    <row r="53" spans="2:42">
      <c r="B53" s="9"/>
      <c r="D53" s="1679"/>
      <c r="E53" s="1680"/>
      <c r="F53" s="1680"/>
      <c r="G53" s="1680"/>
      <c r="H53" s="1680"/>
      <c r="I53" s="1681"/>
      <c r="J53" s="1683"/>
      <c r="K53" s="1680"/>
      <c r="L53" s="1680"/>
      <c r="M53" s="1680"/>
      <c r="N53" s="1680"/>
      <c r="O53" s="1681"/>
      <c r="P53" s="1683"/>
      <c r="Q53" s="1680"/>
      <c r="R53" s="1680"/>
      <c r="S53" s="1680"/>
      <c r="T53" s="1680"/>
      <c r="U53" s="1681"/>
      <c r="V53" s="1683"/>
      <c r="W53" s="1680"/>
      <c r="X53" s="1680"/>
      <c r="Y53" s="1680"/>
      <c r="Z53" s="1680"/>
      <c r="AA53" s="1681"/>
      <c r="AB53" s="1683"/>
      <c r="AC53" s="1680"/>
      <c r="AD53" s="1680"/>
      <c r="AE53" s="1680"/>
      <c r="AF53" s="1680"/>
      <c r="AG53" s="1681"/>
      <c r="AI53" s="10"/>
      <c r="AM53" s="37">
        <v>0.45</v>
      </c>
      <c r="AN53" s="34">
        <v>0.5</v>
      </c>
      <c r="AO53" s="40" t="str">
        <f t="shared" si="0"/>
        <v/>
      </c>
      <c r="AP53" s="46">
        <v>18</v>
      </c>
    </row>
    <row r="54" spans="2:42" ht="14.25" customHeight="1">
      <c r="B54" s="9"/>
      <c r="D54" s="1684">
        <v>15</v>
      </c>
      <c r="E54" s="1671"/>
      <c r="F54" s="1671"/>
      <c r="G54" s="1671"/>
      <c r="H54" s="1671"/>
      <c r="I54" s="1672"/>
      <c r="J54" s="1670">
        <v>12</v>
      </c>
      <c r="K54" s="1671"/>
      <c r="L54" s="1671"/>
      <c r="M54" s="1671"/>
      <c r="N54" s="1671"/>
      <c r="O54" s="1672"/>
      <c r="P54" s="1670">
        <v>9</v>
      </c>
      <c r="Q54" s="1671"/>
      <c r="R54" s="1671"/>
      <c r="S54" s="1671"/>
      <c r="T54" s="1671"/>
      <c r="U54" s="1672"/>
      <c r="V54" s="1670">
        <v>6</v>
      </c>
      <c r="W54" s="1671"/>
      <c r="X54" s="1671"/>
      <c r="Y54" s="1671"/>
      <c r="Z54" s="1671"/>
      <c r="AA54" s="1672"/>
      <c r="AB54" s="1670">
        <v>3</v>
      </c>
      <c r="AC54" s="1671"/>
      <c r="AD54" s="1671"/>
      <c r="AE54" s="1671"/>
      <c r="AF54" s="1671"/>
      <c r="AG54" s="1672"/>
      <c r="AI54" s="10"/>
      <c r="AM54" s="37">
        <v>0.5</v>
      </c>
      <c r="AN54" s="34">
        <v>0.55000000000000004</v>
      </c>
      <c r="AO54" s="40" t="str">
        <f t="shared" si="0"/>
        <v/>
      </c>
      <c r="AP54" s="46">
        <v>21</v>
      </c>
    </row>
    <row r="55" spans="2:42" ht="14.25" customHeight="1">
      <c r="B55" s="9"/>
      <c r="D55" s="1685"/>
      <c r="E55" s="1674"/>
      <c r="F55" s="1674"/>
      <c r="G55" s="1674"/>
      <c r="H55" s="1674"/>
      <c r="I55" s="1675"/>
      <c r="J55" s="1673"/>
      <c r="K55" s="1674"/>
      <c r="L55" s="1674"/>
      <c r="M55" s="1674"/>
      <c r="N55" s="1674"/>
      <c r="O55" s="1675"/>
      <c r="P55" s="1673"/>
      <c r="Q55" s="1674"/>
      <c r="R55" s="1674"/>
      <c r="S55" s="1674"/>
      <c r="T55" s="1674"/>
      <c r="U55" s="1675"/>
      <c r="V55" s="1673"/>
      <c r="W55" s="1674"/>
      <c r="X55" s="1674"/>
      <c r="Y55" s="1674"/>
      <c r="Z55" s="1674"/>
      <c r="AA55" s="1675"/>
      <c r="AB55" s="1673"/>
      <c r="AC55" s="1674"/>
      <c r="AD55" s="1674"/>
      <c r="AE55" s="1674"/>
      <c r="AF55" s="1674"/>
      <c r="AG55" s="1675"/>
      <c r="AI55" s="10"/>
      <c r="AM55" s="37">
        <v>0.55000000000000004</v>
      </c>
      <c r="AN55" s="34">
        <v>0.6</v>
      </c>
      <c r="AO55" s="40" t="str">
        <f t="shared" si="0"/>
        <v/>
      </c>
      <c r="AP55" s="46">
        <v>24</v>
      </c>
    </row>
    <row r="56" spans="2:42" ht="14.25" customHeight="1">
      <c r="B56" s="9"/>
      <c r="D56" s="1676" t="s">
        <v>589</v>
      </c>
      <c r="E56" s="1677"/>
      <c r="F56" s="1677"/>
      <c r="G56" s="1677"/>
      <c r="H56" s="1677"/>
      <c r="I56" s="1678"/>
      <c r="J56" s="1682" t="s">
        <v>539</v>
      </c>
      <c r="K56" s="1677"/>
      <c r="L56" s="1677"/>
      <c r="M56" s="1677"/>
      <c r="N56" s="1677"/>
      <c r="O56" s="1678"/>
      <c r="P56" s="1682" t="s">
        <v>540</v>
      </c>
      <c r="Q56" s="1677"/>
      <c r="R56" s="1677"/>
      <c r="S56" s="1677"/>
      <c r="T56" s="1677"/>
      <c r="U56" s="1678"/>
      <c r="V56" s="1682" t="s">
        <v>541</v>
      </c>
      <c r="W56" s="1677"/>
      <c r="X56" s="1677"/>
      <c r="Y56" s="1677"/>
      <c r="Z56" s="1677"/>
      <c r="AA56" s="1678"/>
      <c r="AB56" s="1682" t="s">
        <v>542</v>
      </c>
      <c r="AC56" s="1677"/>
      <c r="AD56" s="1677"/>
      <c r="AE56" s="1677"/>
      <c r="AF56" s="1677"/>
      <c r="AG56" s="1678"/>
      <c r="AI56" s="10"/>
      <c r="AM56" s="37">
        <v>0.6</v>
      </c>
      <c r="AN56" s="34">
        <v>0.65</v>
      </c>
      <c r="AO56" s="40" t="str">
        <f t="shared" si="0"/>
        <v/>
      </c>
      <c r="AP56" s="46">
        <v>27</v>
      </c>
    </row>
    <row r="57" spans="2:42">
      <c r="B57" s="9"/>
      <c r="D57" s="1679"/>
      <c r="E57" s="1680"/>
      <c r="F57" s="1680"/>
      <c r="G57" s="1680"/>
      <c r="H57" s="1680"/>
      <c r="I57" s="1681"/>
      <c r="J57" s="1683"/>
      <c r="K57" s="1680"/>
      <c r="L57" s="1680"/>
      <c r="M57" s="1680"/>
      <c r="N57" s="1680"/>
      <c r="O57" s="1681"/>
      <c r="P57" s="1683"/>
      <c r="Q57" s="1680"/>
      <c r="R57" s="1680"/>
      <c r="S57" s="1680"/>
      <c r="T57" s="1680"/>
      <c r="U57" s="1681"/>
      <c r="V57" s="1683"/>
      <c r="W57" s="1680"/>
      <c r="X57" s="1680"/>
      <c r="Y57" s="1680"/>
      <c r="Z57" s="1680"/>
      <c r="AA57" s="1681"/>
      <c r="AB57" s="1683"/>
      <c r="AC57" s="1680"/>
      <c r="AD57" s="1680"/>
      <c r="AE57" s="1680"/>
      <c r="AF57" s="1680"/>
      <c r="AG57" s="1681"/>
      <c r="AI57" s="10"/>
      <c r="AM57" s="38">
        <v>0.65</v>
      </c>
      <c r="AN57" s="35" t="s">
        <v>588</v>
      </c>
      <c r="AO57" s="41" t="str">
        <f>IF(ISNUMBER(AN37),IF(AN37&gt;=AM57,"○",""),"")</f>
        <v/>
      </c>
      <c r="AP57" s="47">
        <v>30</v>
      </c>
    </row>
    <row r="58" spans="2:42" ht="14.25" customHeight="1">
      <c r="B58" s="9"/>
      <c r="D58" s="1684">
        <v>30</v>
      </c>
      <c r="E58" s="1671"/>
      <c r="F58" s="1671"/>
      <c r="G58" s="1671"/>
      <c r="H58" s="1671"/>
      <c r="I58" s="1672"/>
      <c r="J58" s="1670">
        <v>27</v>
      </c>
      <c r="K58" s="1671"/>
      <c r="L58" s="1671"/>
      <c r="M58" s="1671"/>
      <c r="N58" s="1671"/>
      <c r="O58" s="1672"/>
      <c r="P58" s="1670">
        <v>24</v>
      </c>
      <c r="Q58" s="1671"/>
      <c r="R58" s="1671"/>
      <c r="S58" s="1671"/>
      <c r="T58" s="1671"/>
      <c r="U58" s="1672"/>
      <c r="V58" s="1670">
        <v>21</v>
      </c>
      <c r="W58" s="1671"/>
      <c r="X58" s="1671"/>
      <c r="Y58" s="1671"/>
      <c r="Z58" s="1671"/>
      <c r="AA58" s="1672"/>
      <c r="AB58" s="1670">
        <v>18</v>
      </c>
      <c r="AC58" s="1671"/>
      <c r="AD58" s="1671"/>
      <c r="AE58" s="1671"/>
      <c r="AF58" s="1671"/>
      <c r="AG58" s="1672"/>
      <c r="AI58" s="10"/>
    </row>
    <row r="59" spans="2:42" ht="14.25" customHeight="1">
      <c r="B59" s="9"/>
      <c r="D59" s="1685"/>
      <c r="E59" s="1674"/>
      <c r="F59" s="1674"/>
      <c r="G59" s="1674"/>
      <c r="H59" s="1674"/>
      <c r="I59" s="1675"/>
      <c r="J59" s="1673"/>
      <c r="K59" s="1674"/>
      <c r="L59" s="1674"/>
      <c r="M59" s="1674"/>
      <c r="N59" s="1674"/>
      <c r="O59" s="1675"/>
      <c r="P59" s="1673"/>
      <c r="Q59" s="1674"/>
      <c r="R59" s="1674"/>
      <c r="S59" s="1674"/>
      <c r="T59" s="1674"/>
      <c r="U59" s="1675"/>
      <c r="V59" s="1673"/>
      <c r="W59" s="1674"/>
      <c r="X59" s="1674"/>
      <c r="Y59" s="1674"/>
      <c r="Z59" s="1674"/>
      <c r="AA59" s="1675"/>
      <c r="AB59" s="1673"/>
      <c r="AC59" s="1674"/>
      <c r="AD59" s="1674"/>
      <c r="AE59" s="1674"/>
      <c r="AF59" s="1674"/>
      <c r="AG59" s="1675"/>
      <c r="AI59" s="10"/>
    </row>
    <row r="60" spans="2:42">
      <c r="B60" s="1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3"/>
    </row>
    <row r="61" spans="2:42" ht="18.75" customHeight="1"/>
    <row r="62" spans="2:42">
      <c r="B62" s="1758" t="s">
        <v>418</v>
      </c>
      <c r="C62" s="1758"/>
      <c r="D62" s="1758"/>
      <c r="E62" s="1758"/>
      <c r="F62" s="1758"/>
      <c r="G62" s="1758"/>
      <c r="H62" s="1758"/>
      <c r="I62" s="1758"/>
      <c r="J62" s="1758"/>
      <c r="K62" s="1758"/>
      <c r="L62" s="1758"/>
      <c r="M62" s="1758"/>
      <c r="N62" s="1758"/>
      <c r="O62" s="1758"/>
      <c r="P62" s="1758"/>
      <c r="Q62" s="1758"/>
      <c r="R62" s="1758"/>
      <c r="S62" s="1758"/>
      <c r="T62" s="1758"/>
      <c r="U62" s="1758"/>
      <c r="V62" s="1758"/>
      <c r="W62" s="1758"/>
      <c r="X62" s="1758"/>
      <c r="Y62" s="1758"/>
      <c r="Z62" s="1758"/>
      <c r="AA62" s="1758"/>
      <c r="AB62" s="1758"/>
      <c r="AC62" s="1758"/>
      <c r="AD62" s="1758"/>
      <c r="AE62" s="1758"/>
      <c r="AF62" s="1758"/>
      <c r="AG62" s="1758"/>
      <c r="AH62" s="1758"/>
      <c r="AI62" s="1758"/>
    </row>
    <row r="63" spans="2:42">
      <c r="B63" s="1836" t="s">
        <v>459</v>
      </c>
      <c r="C63" s="1837"/>
      <c r="D63" s="1837"/>
      <c r="E63" s="1837"/>
      <c r="F63" s="1837"/>
      <c r="G63" s="1837"/>
      <c r="H63" s="1837"/>
      <c r="I63" s="1837"/>
      <c r="J63" s="1837"/>
      <c r="K63" s="1837"/>
      <c r="L63" s="1837"/>
      <c r="M63" s="1837"/>
      <c r="N63" s="1837"/>
      <c r="O63" s="1837"/>
      <c r="P63" s="1837"/>
      <c r="Q63" s="1837"/>
      <c r="R63" s="1837"/>
      <c r="S63" s="1837"/>
      <c r="T63" s="1837"/>
      <c r="U63" s="1837"/>
      <c r="V63" s="1837"/>
      <c r="W63" s="1837"/>
      <c r="X63" s="1837"/>
      <c r="Y63" s="1837"/>
      <c r="Z63" s="1837"/>
      <c r="AA63" s="1837"/>
      <c r="AB63" s="1837"/>
      <c r="AC63" s="1837"/>
      <c r="AD63" s="1837"/>
      <c r="AE63" s="1837"/>
      <c r="AF63" s="1837"/>
      <c r="AG63" s="1837"/>
      <c r="AH63" s="1837"/>
      <c r="AI63" s="1838"/>
      <c r="AM63" s="4"/>
      <c r="AN63" s="4"/>
      <c r="AO63" s="4"/>
      <c r="AP63" s="4"/>
    </row>
    <row r="64" spans="2:42">
      <c r="B64" s="9"/>
      <c r="AI64" s="10"/>
      <c r="AM64" s="4"/>
      <c r="AN64" s="4"/>
      <c r="AO64" s="4"/>
      <c r="AP64" s="4"/>
    </row>
    <row r="65" spans="2:42">
      <c r="B65" s="9"/>
      <c r="G65" s="1850" t="s">
        <v>423</v>
      </c>
      <c r="H65" s="1851"/>
      <c r="I65" s="1851"/>
      <c r="J65" s="1851"/>
      <c r="K65" s="1851"/>
      <c r="L65" s="1851"/>
      <c r="M65" s="1851" t="s">
        <v>419</v>
      </c>
      <c r="N65" s="1851"/>
      <c r="O65" s="1851"/>
      <c r="P65" s="1851"/>
      <c r="Q65" s="1851"/>
      <c r="R65" s="1851"/>
      <c r="S65" s="1851" t="s">
        <v>414</v>
      </c>
      <c r="T65" s="1851"/>
      <c r="U65" s="1851"/>
      <c r="V65" s="1851"/>
      <c r="W65" s="1851"/>
      <c r="X65" s="1851"/>
      <c r="Y65" s="1851"/>
      <c r="Z65" s="1851"/>
      <c r="AA65" s="1851"/>
      <c r="AB65" s="1852"/>
      <c r="AC65" s="4"/>
      <c r="AD65" s="4"/>
      <c r="AI65" s="10"/>
      <c r="AM65" s="4"/>
      <c r="AN65" s="4"/>
      <c r="AO65" s="4"/>
      <c r="AP65" s="4"/>
    </row>
    <row r="66" spans="2:42">
      <c r="B66" s="9"/>
      <c r="G66" s="1856" t="s">
        <v>400</v>
      </c>
      <c r="H66" s="1857"/>
      <c r="I66" s="1857"/>
      <c r="J66" s="1857"/>
      <c r="K66" s="1857"/>
      <c r="L66" s="1857"/>
      <c r="M66" s="1857" t="s">
        <v>400</v>
      </c>
      <c r="N66" s="1857"/>
      <c r="O66" s="1857"/>
      <c r="P66" s="1857"/>
      <c r="Q66" s="1857"/>
      <c r="R66" s="1857"/>
      <c r="S66" s="1858" t="s">
        <v>401</v>
      </c>
      <c r="T66" s="1858"/>
      <c r="U66" s="1858"/>
      <c r="V66" s="1858"/>
      <c r="W66" s="1858"/>
      <c r="X66" s="1858"/>
      <c r="Y66" s="1858"/>
      <c r="Z66" s="1858"/>
      <c r="AA66" s="1858"/>
      <c r="AB66" s="1859"/>
      <c r="AC66" s="6"/>
      <c r="AD66" s="6"/>
      <c r="AI66" s="10"/>
      <c r="AM66" s="4"/>
      <c r="AN66" s="4"/>
      <c r="AO66" s="4"/>
      <c r="AP66" s="4"/>
    </row>
    <row r="67" spans="2:42">
      <c r="B67" s="9"/>
      <c r="G67" s="1853" t="s">
        <v>400</v>
      </c>
      <c r="H67" s="1854"/>
      <c r="I67" s="1854"/>
      <c r="J67" s="1854"/>
      <c r="K67" s="1854"/>
      <c r="L67" s="1854"/>
      <c r="M67" s="1855" t="s">
        <v>425</v>
      </c>
      <c r="N67" s="1855"/>
      <c r="O67" s="1855"/>
      <c r="P67" s="1855"/>
      <c r="Q67" s="1855"/>
      <c r="R67" s="1855"/>
      <c r="S67" s="1848" t="s">
        <v>782</v>
      </c>
      <c r="T67" s="1848"/>
      <c r="U67" s="1848"/>
      <c r="V67" s="1848"/>
      <c r="W67" s="1848"/>
      <c r="X67" s="1848"/>
      <c r="Y67" s="1848"/>
      <c r="Z67" s="1848"/>
      <c r="AA67" s="1848"/>
      <c r="AB67" s="1849"/>
      <c r="AC67" s="6"/>
      <c r="AD67" s="6"/>
      <c r="AI67" s="10"/>
      <c r="AM67" s="4"/>
      <c r="AN67" s="4"/>
      <c r="AO67" s="4"/>
      <c r="AP67" s="4"/>
    </row>
    <row r="68" spans="2:42">
      <c r="B68" s="9"/>
      <c r="G68" s="1876" t="s">
        <v>425</v>
      </c>
      <c r="H68" s="1877"/>
      <c r="I68" s="1877"/>
      <c r="J68" s="1877"/>
      <c r="K68" s="1877"/>
      <c r="L68" s="1877"/>
      <c r="M68" s="1877" t="s">
        <v>424</v>
      </c>
      <c r="N68" s="1877"/>
      <c r="O68" s="1877"/>
      <c r="P68" s="1877"/>
      <c r="Q68" s="1877"/>
      <c r="R68" s="1877"/>
      <c r="S68" s="1712" t="s">
        <v>401</v>
      </c>
      <c r="T68" s="1712"/>
      <c r="U68" s="1712"/>
      <c r="V68" s="1712"/>
      <c r="W68" s="1712"/>
      <c r="X68" s="1712"/>
      <c r="Y68" s="1712"/>
      <c r="Z68" s="1712"/>
      <c r="AA68" s="1712"/>
      <c r="AB68" s="1713"/>
      <c r="AC68" s="6"/>
      <c r="AD68" s="6"/>
      <c r="AI68" s="10"/>
      <c r="AM68" s="4"/>
      <c r="AN68" s="4"/>
      <c r="AO68" s="4"/>
      <c r="AP68" s="4"/>
    </row>
    <row r="69" spans="2:42">
      <c r="B69" s="1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3"/>
      <c r="AM69" s="4"/>
      <c r="AN69" s="4"/>
      <c r="AO69" s="4"/>
      <c r="AP69" s="4"/>
    </row>
    <row r="71" spans="2:42" ht="14.25" customHeight="1">
      <c r="B71" s="1860" t="s">
        <v>630</v>
      </c>
      <c r="C71" s="1861"/>
      <c r="D71" s="1861"/>
      <c r="E71" s="1861"/>
      <c r="F71" s="1861"/>
      <c r="G71" s="1861"/>
      <c r="H71" s="1861"/>
      <c r="I71" s="1861"/>
      <c r="J71" s="1861"/>
      <c r="K71" s="1861"/>
      <c r="L71" s="1861"/>
      <c r="M71" s="1861"/>
      <c r="N71" s="1861"/>
      <c r="O71" s="1861"/>
      <c r="P71" s="1861"/>
      <c r="Q71" s="1861"/>
      <c r="R71" s="1861"/>
      <c r="S71" s="1861"/>
      <c r="T71" s="1861"/>
      <c r="U71" s="1861"/>
      <c r="V71" s="1861"/>
      <c r="W71" s="1861"/>
      <c r="X71" s="1861"/>
      <c r="Y71" s="1861"/>
      <c r="Z71" s="1861"/>
      <c r="AA71" s="1790" t="str">
        <f>IF(AA8="評価対象外",AA8,"")</f>
        <v>評価対象外</v>
      </c>
      <c r="AB71" s="1790"/>
      <c r="AC71" s="1790"/>
      <c r="AD71" s="1790"/>
      <c r="AE71" s="1790"/>
      <c r="AF71" s="1790"/>
      <c r="AG71" s="1790"/>
      <c r="AH71" s="1790"/>
      <c r="AI71" s="1791"/>
    </row>
    <row r="72" spans="2:42" ht="14.25" customHeight="1">
      <c r="B72" s="1862"/>
      <c r="C72" s="1863"/>
      <c r="D72" s="1863"/>
      <c r="E72" s="1863"/>
      <c r="F72" s="1863"/>
      <c r="G72" s="1863"/>
      <c r="H72" s="1863"/>
      <c r="I72" s="1863"/>
      <c r="J72" s="1863"/>
      <c r="K72" s="1863"/>
      <c r="L72" s="1863"/>
      <c r="M72" s="1863"/>
      <c r="N72" s="1863"/>
      <c r="O72" s="1863"/>
      <c r="P72" s="1863"/>
      <c r="Q72" s="1863"/>
      <c r="R72" s="1863"/>
      <c r="S72" s="1863"/>
      <c r="T72" s="1863"/>
      <c r="U72" s="1863"/>
      <c r="V72" s="1863"/>
      <c r="W72" s="1863"/>
      <c r="X72" s="1863"/>
      <c r="Y72" s="1863"/>
      <c r="Z72" s="1863"/>
      <c r="AA72" s="1792"/>
      <c r="AB72" s="1792"/>
      <c r="AC72" s="1792"/>
      <c r="AD72" s="1792"/>
      <c r="AE72" s="1792"/>
      <c r="AF72" s="1792"/>
      <c r="AG72" s="1792"/>
      <c r="AH72" s="1792"/>
      <c r="AI72" s="1793"/>
    </row>
    <row r="73" spans="2:42">
      <c r="B73" s="1758" t="s">
        <v>463</v>
      </c>
      <c r="C73" s="1758"/>
      <c r="D73" s="1758"/>
      <c r="E73" s="1758"/>
      <c r="F73" s="1758"/>
      <c r="G73" s="1758"/>
      <c r="H73" s="1758"/>
      <c r="I73" s="1758"/>
      <c r="J73" s="1758"/>
      <c r="K73" s="1758"/>
      <c r="L73" s="1758"/>
      <c r="M73" s="1758"/>
      <c r="N73" s="1758"/>
      <c r="O73" s="1758"/>
      <c r="P73" s="1758"/>
      <c r="Q73" s="1758"/>
      <c r="R73" s="1758"/>
      <c r="S73" s="1758"/>
      <c r="T73" s="1758"/>
      <c r="U73" s="1758"/>
      <c r="V73" s="1758"/>
      <c r="W73" s="1758"/>
      <c r="X73" s="1758"/>
      <c r="Y73" s="1758"/>
      <c r="Z73" s="1758"/>
      <c r="AA73" s="1758"/>
      <c r="AB73" s="1758"/>
      <c r="AC73" s="1758"/>
      <c r="AD73" s="1758"/>
      <c r="AE73" s="1758"/>
      <c r="AF73" s="1758"/>
      <c r="AG73" s="1758"/>
      <c r="AH73" s="1758"/>
      <c r="AI73" s="1758"/>
      <c r="AJ73" s="1758"/>
    </row>
    <row r="74" spans="2:42">
      <c r="W74" s="1878" t="s">
        <v>426</v>
      </c>
      <c r="X74" s="1879"/>
      <c r="Y74" s="1879"/>
      <c r="Z74" s="1880"/>
      <c r="AA74" s="1872">
        <f>'点検表（商業版）'!AA5</f>
        <v>0</v>
      </c>
      <c r="AB74" s="1873"/>
      <c r="AC74" s="1873"/>
      <c r="AD74" s="1873"/>
      <c r="AE74" s="1873"/>
      <c r="AF74" s="1873"/>
      <c r="AG74" s="1873"/>
      <c r="AH74" s="1873"/>
      <c r="AI74" s="1692" t="s">
        <v>411</v>
      </c>
      <c r="AM74" s="48" t="s">
        <v>779</v>
      </c>
      <c r="AN74" s="85">
        <f>AA74</f>
        <v>0</v>
      </c>
    </row>
    <row r="75" spans="2:42">
      <c r="W75" s="1881"/>
      <c r="X75" s="1882"/>
      <c r="Y75" s="1882"/>
      <c r="Z75" s="1883"/>
      <c r="AA75" s="1874"/>
      <c r="AB75" s="1875"/>
      <c r="AC75" s="1875"/>
      <c r="AD75" s="1875"/>
      <c r="AE75" s="1875"/>
      <c r="AF75" s="1875"/>
      <c r="AG75" s="1875"/>
      <c r="AH75" s="1875"/>
      <c r="AI75" s="1693"/>
      <c r="AN75" s="4"/>
    </row>
    <row r="76" spans="2:42">
      <c r="AM76" s="48" t="s">
        <v>780</v>
      </c>
      <c r="AN76" s="42">
        <f>IF(AA74&gt;=55,1,0)</f>
        <v>0</v>
      </c>
      <c r="AO76" s="3" t="s">
        <v>768</v>
      </c>
    </row>
    <row r="77" spans="2:42" ht="14.25" customHeight="1">
      <c r="B77" s="1864" t="s">
        <v>427</v>
      </c>
      <c r="C77" s="1865"/>
      <c r="D77" s="1865"/>
      <c r="E77" s="1865"/>
      <c r="F77" s="1865"/>
      <c r="G77" s="1865"/>
      <c r="H77" s="1865"/>
      <c r="I77" s="1865"/>
      <c r="J77" s="1865"/>
      <c r="K77" s="1865"/>
      <c r="L77" s="1865"/>
      <c r="M77" s="1865"/>
      <c r="N77" s="1865"/>
      <c r="O77" s="1865"/>
      <c r="P77" s="1865"/>
      <c r="Q77" s="1865"/>
      <c r="R77" s="1865"/>
      <c r="S77" s="1865"/>
      <c r="T77" s="1865"/>
      <c r="U77" s="1865"/>
      <c r="V77" s="1865"/>
      <c r="W77" s="1865"/>
      <c r="X77" s="1865"/>
      <c r="Y77" s="1865"/>
      <c r="Z77" s="1865"/>
      <c r="AA77" s="1868" t="str">
        <f>IF(AA8="評価対象外",AA8,"")</f>
        <v>評価対象外</v>
      </c>
      <c r="AB77" s="1868"/>
      <c r="AC77" s="1868"/>
      <c r="AD77" s="1868"/>
      <c r="AE77" s="1868"/>
      <c r="AF77" s="1868"/>
      <c r="AG77" s="1868"/>
      <c r="AH77" s="1868"/>
      <c r="AI77" s="1869"/>
    </row>
    <row r="78" spans="2:42" ht="14.25" customHeight="1">
      <c r="B78" s="1866"/>
      <c r="C78" s="1867"/>
      <c r="D78" s="1867"/>
      <c r="E78" s="1867"/>
      <c r="F78" s="1867"/>
      <c r="G78" s="1867"/>
      <c r="H78" s="1867"/>
      <c r="I78" s="1867"/>
      <c r="J78" s="1867"/>
      <c r="K78" s="1867"/>
      <c r="L78" s="1867"/>
      <c r="M78" s="1867"/>
      <c r="N78" s="1867"/>
      <c r="O78" s="1867"/>
      <c r="P78" s="1867"/>
      <c r="Q78" s="1867"/>
      <c r="R78" s="1867"/>
      <c r="S78" s="1867"/>
      <c r="T78" s="1867"/>
      <c r="U78" s="1867"/>
      <c r="V78" s="1867"/>
      <c r="W78" s="1867"/>
      <c r="X78" s="1867"/>
      <c r="Y78" s="1867"/>
      <c r="Z78" s="1867"/>
      <c r="AA78" s="1870"/>
      <c r="AB78" s="1870"/>
      <c r="AC78" s="1870"/>
      <c r="AD78" s="1870"/>
      <c r="AE78" s="1870"/>
      <c r="AF78" s="1870"/>
      <c r="AG78" s="1870"/>
      <c r="AH78" s="1870"/>
      <c r="AI78" s="1871"/>
    </row>
    <row r="79" spans="2:42">
      <c r="B79" s="1837" t="s">
        <v>429</v>
      </c>
      <c r="C79" s="1837"/>
      <c r="D79" s="1837"/>
      <c r="E79" s="1837"/>
      <c r="F79" s="1837"/>
      <c r="G79" s="1837"/>
      <c r="H79" s="1837"/>
      <c r="I79" s="1837"/>
      <c r="J79" s="1837"/>
      <c r="K79" s="1837"/>
      <c r="L79" s="1837"/>
      <c r="M79" s="1837"/>
      <c r="N79" s="1837"/>
      <c r="O79" s="1837"/>
      <c r="P79" s="1837"/>
      <c r="Q79" s="1837"/>
      <c r="R79" s="1837"/>
      <c r="S79" s="1837"/>
      <c r="T79" s="1837"/>
      <c r="U79" s="1837"/>
      <c r="V79" s="1837"/>
      <c r="W79" s="1837"/>
      <c r="X79" s="1837"/>
      <c r="Y79" s="1837"/>
      <c r="Z79" s="1837"/>
      <c r="AA79" s="1837"/>
      <c r="AB79" s="1837"/>
      <c r="AC79" s="1837"/>
      <c r="AD79" s="1837"/>
      <c r="AE79" s="1837"/>
      <c r="AF79" s="1837"/>
      <c r="AG79" s="1837"/>
      <c r="AH79" s="1837"/>
      <c r="AI79" s="1837"/>
    </row>
    <row r="80" spans="2:42" ht="14.25" customHeight="1">
      <c r="V80" s="14"/>
      <c r="W80" s="1686" t="s">
        <v>428</v>
      </c>
      <c r="X80" s="1687"/>
      <c r="Y80" s="1687"/>
      <c r="Z80" s="1688"/>
      <c r="AA80" s="1694" t="str">
        <f>IF(AN8&gt;=1,IFERROR(IF(AA40="","",AA40+AA74),""),"")</f>
        <v/>
      </c>
      <c r="AB80" s="1695"/>
      <c r="AC80" s="1695"/>
      <c r="AD80" s="1695"/>
      <c r="AE80" s="1695"/>
      <c r="AF80" s="1695"/>
      <c r="AG80" s="1695"/>
      <c r="AH80" s="1695"/>
      <c r="AI80" s="1692" t="s">
        <v>411</v>
      </c>
    </row>
    <row r="81" spans="2:40" ht="14.25" customHeight="1">
      <c r="V81" s="14"/>
      <c r="W81" s="1689"/>
      <c r="X81" s="1690"/>
      <c r="Y81" s="1690"/>
      <c r="Z81" s="1691"/>
      <c r="AA81" s="1696"/>
      <c r="AB81" s="1697"/>
      <c r="AC81" s="1697"/>
      <c r="AD81" s="1697"/>
      <c r="AE81" s="1697"/>
      <c r="AF81" s="1697"/>
      <c r="AG81" s="1697"/>
      <c r="AH81" s="1697"/>
      <c r="AI81" s="1693"/>
    </row>
    <row r="82" spans="2:40" ht="14.25" customHeight="1">
      <c r="V82" s="15"/>
      <c r="W82" s="16"/>
      <c r="X82" s="16"/>
      <c r="Y82" s="16"/>
      <c r="Z82" s="16"/>
      <c r="AA82" s="17"/>
      <c r="AB82" s="17"/>
      <c r="AC82" s="17"/>
      <c r="AD82" s="17"/>
      <c r="AE82" s="17"/>
      <c r="AF82" s="17"/>
      <c r="AG82" s="17"/>
      <c r="AH82" s="17"/>
      <c r="AI82" s="18"/>
    </row>
    <row r="83" spans="2:40">
      <c r="B83" s="1758" t="s">
        <v>430</v>
      </c>
      <c r="C83" s="1758"/>
      <c r="D83" s="1758"/>
      <c r="E83" s="1758"/>
      <c r="F83" s="1758"/>
      <c r="G83" s="1758"/>
      <c r="H83" s="1758"/>
      <c r="I83" s="1758"/>
      <c r="J83" s="1758"/>
      <c r="K83" s="1758"/>
      <c r="L83" s="1758"/>
      <c r="M83" s="1758"/>
      <c r="N83" s="1758"/>
      <c r="O83" s="1758"/>
      <c r="P83" s="1758"/>
      <c r="Q83" s="1758"/>
      <c r="R83" s="1758"/>
      <c r="S83" s="1758"/>
      <c r="T83" s="1758"/>
      <c r="U83" s="1758"/>
      <c r="V83" s="1758"/>
      <c r="W83" s="1758"/>
      <c r="X83" s="1758"/>
      <c r="Y83" s="1758"/>
      <c r="Z83" s="1758"/>
      <c r="AA83" s="1758"/>
      <c r="AB83" s="1758"/>
      <c r="AC83" s="1758"/>
      <c r="AD83" s="1758"/>
      <c r="AE83" s="1758"/>
      <c r="AF83" s="1758"/>
      <c r="AG83" s="1758"/>
      <c r="AH83" s="1758"/>
      <c r="AI83" s="1758"/>
    </row>
    <row r="84" spans="2:40" ht="14.25" customHeight="1">
      <c r="W84" s="1686" t="s">
        <v>402</v>
      </c>
      <c r="X84" s="1687"/>
      <c r="Y84" s="1687"/>
      <c r="Z84" s="1688"/>
      <c r="AA84" s="1701" t="str">
        <f>IF(AA80="","",IF(AA80&gt;=90,F90,IF(AND(AA80&lt;90,AA80&gt;=80),F91,IF(AND(AA80&lt;80,AA80&gt;=70),F92,IF(AND(AA80&lt;70,AA80&gt;=60),F93,IF(AND(AA80&lt;60,AA80&gt;=40),F94,IF(AA80&lt;40,F95)))))))</f>
        <v/>
      </c>
      <c r="AB84" s="1702"/>
      <c r="AC84" s="1702"/>
      <c r="AD84" s="1702"/>
      <c r="AE84" s="1702"/>
      <c r="AF84" s="1702"/>
      <c r="AG84" s="1702"/>
      <c r="AH84" s="1702"/>
      <c r="AI84" s="1703"/>
    </row>
    <row r="85" spans="2:40" ht="14.25" customHeight="1">
      <c r="W85" s="1698"/>
      <c r="X85" s="1699"/>
      <c r="Y85" s="1699"/>
      <c r="Z85" s="1700"/>
      <c r="AA85" s="1704"/>
      <c r="AB85" s="1705"/>
      <c r="AC85" s="1705"/>
      <c r="AD85" s="1705"/>
      <c r="AE85" s="1705"/>
      <c r="AF85" s="1705"/>
      <c r="AG85" s="1705"/>
      <c r="AH85" s="1705"/>
      <c r="AI85" s="1706"/>
      <c r="AM85" s="48" t="s">
        <v>402</v>
      </c>
      <c r="AN85" s="42" t="str">
        <f>AA84</f>
        <v/>
      </c>
    </row>
    <row r="86" spans="2:40" ht="14.25" customHeight="1">
      <c r="W86" s="1689"/>
      <c r="X86" s="1690"/>
      <c r="Y86" s="1690"/>
      <c r="Z86" s="1691"/>
      <c r="AA86" s="1707"/>
      <c r="AB86" s="1708"/>
      <c r="AC86" s="1708"/>
      <c r="AD86" s="1708"/>
      <c r="AE86" s="1708"/>
      <c r="AF86" s="1708"/>
      <c r="AG86" s="1708"/>
      <c r="AH86" s="1708"/>
      <c r="AI86" s="1709"/>
      <c r="AN86" s="4"/>
    </row>
    <row r="87" spans="2:40">
      <c r="AN87" s="4"/>
    </row>
    <row r="88" spans="2:40">
      <c r="B88" s="1758" t="s">
        <v>431</v>
      </c>
      <c r="C88" s="1758"/>
      <c r="D88" s="1758"/>
      <c r="E88" s="1758"/>
      <c r="F88" s="1758"/>
      <c r="G88" s="1758"/>
      <c r="H88" s="1758"/>
      <c r="I88" s="1758"/>
      <c r="J88" s="1758"/>
      <c r="K88" s="1758"/>
      <c r="L88" s="1758"/>
      <c r="M88" s="1758"/>
      <c r="N88" s="1758"/>
      <c r="O88" s="1758"/>
      <c r="P88" s="1758"/>
      <c r="Q88" s="1758"/>
      <c r="R88" s="1758"/>
      <c r="S88" s="1758"/>
      <c r="T88" s="1758"/>
      <c r="U88" s="1758"/>
      <c r="V88" s="1758"/>
      <c r="W88" s="1758"/>
      <c r="X88" s="1758"/>
      <c r="Y88" s="1758"/>
      <c r="Z88" s="1758"/>
      <c r="AA88" s="1758"/>
      <c r="AB88" s="1758"/>
      <c r="AC88" s="1758"/>
      <c r="AD88" s="1758"/>
      <c r="AE88" s="1758"/>
      <c r="AF88" s="1758"/>
      <c r="AG88" s="1758"/>
      <c r="AH88" s="1758"/>
      <c r="AI88" s="1758"/>
      <c r="AN88" s="4"/>
    </row>
    <row r="89" spans="2:40">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2"/>
      <c r="AM89" s="3" t="s">
        <v>769</v>
      </c>
    </row>
    <row r="90" spans="2:40">
      <c r="B90" s="9"/>
      <c r="F90" s="1908" t="s">
        <v>448</v>
      </c>
      <c r="G90" s="1909"/>
      <c r="H90" s="1909"/>
      <c r="I90" s="1909"/>
      <c r="J90" s="1886" t="s">
        <v>460</v>
      </c>
      <c r="K90" s="1887"/>
      <c r="L90" s="1887"/>
      <c r="M90" s="1887"/>
      <c r="N90" s="1887"/>
      <c r="O90" s="1887"/>
      <c r="P90" s="1887"/>
      <c r="Q90" s="1887"/>
      <c r="R90" s="1887"/>
      <c r="S90" s="1887"/>
      <c r="T90" s="1888"/>
      <c r="U90" s="1887" t="s">
        <v>434</v>
      </c>
      <c r="V90" s="1887"/>
      <c r="W90" s="1887"/>
      <c r="X90" s="1887"/>
      <c r="Y90" s="1887"/>
      <c r="Z90" s="1887"/>
      <c r="AA90" s="1887"/>
      <c r="AB90" s="1887"/>
      <c r="AC90" s="1887"/>
      <c r="AD90" s="1887"/>
      <c r="AE90" s="1896"/>
      <c r="AI90" s="10"/>
      <c r="AM90" s="20" t="s">
        <v>447</v>
      </c>
      <c r="AN90" s="22" t="b">
        <f>IF(AA84=AM90,6)</f>
        <v>0</v>
      </c>
    </row>
    <row r="91" spans="2:40">
      <c r="B91" s="9"/>
      <c r="F91" s="1906" t="s">
        <v>442</v>
      </c>
      <c r="G91" s="1907"/>
      <c r="H91" s="1907"/>
      <c r="I91" s="1907"/>
      <c r="J91" s="1889" t="s">
        <v>462</v>
      </c>
      <c r="K91" s="1710"/>
      <c r="L91" s="1710"/>
      <c r="M91" s="1710"/>
      <c r="N91" s="1710"/>
      <c r="O91" s="1710"/>
      <c r="P91" s="1710"/>
      <c r="Q91" s="1710"/>
      <c r="R91" s="1710"/>
      <c r="S91" s="1710"/>
      <c r="T91" s="1890"/>
      <c r="U91" s="1710" t="s">
        <v>435</v>
      </c>
      <c r="V91" s="1710"/>
      <c r="W91" s="1710"/>
      <c r="X91" s="1710"/>
      <c r="Y91" s="1710"/>
      <c r="Z91" s="1710"/>
      <c r="AA91" s="1710"/>
      <c r="AB91" s="1710"/>
      <c r="AC91" s="1710"/>
      <c r="AD91" s="1710"/>
      <c r="AE91" s="1711"/>
      <c r="AI91" s="10"/>
      <c r="AM91" s="9" t="s">
        <v>440</v>
      </c>
      <c r="AN91" s="10" t="b">
        <f>IF(AA84=AM91,5)</f>
        <v>0</v>
      </c>
    </row>
    <row r="92" spans="2:40">
      <c r="B92" s="9"/>
      <c r="F92" s="1903" t="s">
        <v>443</v>
      </c>
      <c r="G92" s="1904"/>
      <c r="H92" s="1904"/>
      <c r="I92" s="1904"/>
      <c r="J92" s="1891" t="s">
        <v>461</v>
      </c>
      <c r="K92" s="1892"/>
      <c r="L92" s="1892"/>
      <c r="M92" s="1892"/>
      <c r="N92" s="1892"/>
      <c r="O92" s="1892"/>
      <c r="P92" s="1892"/>
      <c r="Q92" s="1892"/>
      <c r="R92" s="1892"/>
      <c r="S92" s="1892"/>
      <c r="T92" s="1893"/>
      <c r="U92" s="1892" t="s">
        <v>436</v>
      </c>
      <c r="V92" s="1892"/>
      <c r="W92" s="1892"/>
      <c r="X92" s="1892"/>
      <c r="Y92" s="1892"/>
      <c r="Z92" s="1892"/>
      <c r="AA92" s="1892"/>
      <c r="AB92" s="1892"/>
      <c r="AC92" s="1892"/>
      <c r="AD92" s="1892"/>
      <c r="AE92" s="1905"/>
      <c r="AI92" s="10"/>
      <c r="AM92" s="9" t="s">
        <v>432</v>
      </c>
      <c r="AN92" s="10" t="b">
        <f>IF(AA84=AM92,4)</f>
        <v>0</v>
      </c>
    </row>
    <row r="93" spans="2:40">
      <c r="B93" s="9"/>
      <c r="F93" s="1897" t="s">
        <v>444</v>
      </c>
      <c r="G93" s="1898"/>
      <c r="H93" s="1898"/>
      <c r="I93" s="1898"/>
      <c r="J93" s="1894" t="s">
        <v>403</v>
      </c>
      <c r="K93" s="1884"/>
      <c r="L93" s="1884"/>
      <c r="M93" s="1884"/>
      <c r="N93" s="1884"/>
      <c r="O93" s="1884"/>
      <c r="P93" s="1884"/>
      <c r="Q93" s="1884"/>
      <c r="R93" s="1884"/>
      <c r="S93" s="1884"/>
      <c r="T93" s="1895"/>
      <c r="U93" s="1884" t="s">
        <v>437</v>
      </c>
      <c r="V93" s="1884"/>
      <c r="W93" s="1884"/>
      <c r="X93" s="1884"/>
      <c r="Y93" s="1884"/>
      <c r="Z93" s="1884"/>
      <c r="AA93" s="1884"/>
      <c r="AB93" s="1884"/>
      <c r="AC93" s="1884"/>
      <c r="AD93" s="1884"/>
      <c r="AE93" s="1885"/>
      <c r="AI93" s="10"/>
      <c r="AM93" s="9" t="s">
        <v>444</v>
      </c>
      <c r="AN93" s="10" t="b">
        <f>IF(AA84=AM93,3)</f>
        <v>0</v>
      </c>
    </row>
    <row r="94" spans="2:40">
      <c r="B94" s="9"/>
      <c r="F94" s="1901" t="s">
        <v>445</v>
      </c>
      <c r="G94" s="1902"/>
      <c r="H94" s="1902"/>
      <c r="I94" s="1902"/>
      <c r="J94" s="1889" t="s">
        <v>433</v>
      </c>
      <c r="K94" s="1710"/>
      <c r="L94" s="1710"/>
      <c r="M94" s="1710"/>
      <c r="N94" s="1710"/>
      <c r="O94" s="1710"/>
      <c r="P94" s="1710"/>
      <c r="Q94" s="1710"/>
      <c r="R94" s="1710"/>
      <c r="S94" s="1710"/>
      <c r="T94" s="1890"/>
      <c r="U94" s="1710" t="s">
        <v>438</v>
      </c>
      <c r="V94" s="1710"/>
      <c r="W94" s="1710"/>
      <c r="X94" s="1710"/>
      <c r="Y94" s="1710"/>
      <c r="Z94" s="1710"/>
      <c r="AA94" s="1710"/>
      <c r="AB94" s="1710"/>
      <c r="AC94" s="1710"/>
      <c r="AD94" s="1710"/>
      <c r="AE94" s="1711"/>
      <c r="AI94" s="10"/>
      <c r="AM94" s="9" t="s">
        <v>445</v>
      </c>
      <c r="AN94" s="10" t="b">
        <f>IF(AA84=AM94,2)</f>
        <v>0</v>
      </c>
    </row>
    <row r="95" spans="2:40">
      <c r="B95" s="9"/>
      <c r="F95" s="1899" t="s">
        <v>446</v>
      </c>
      <c r="G95" s="1900"/>
      <c r="H95" s="1900"/>
      <c r="I95" s="1900"/>
      <c r="J95" s="1894" t="s">
        <v>404</v>
      </c>
      <c r="K95" s="1884"/>
      <c r="L95" s="1884"/>
      <c r="M95" s="1884"/>
      <c r="N95" s="1884"/>
      <c r="O95" s="1884"/>
      <c r="P95" s="1884"/>
      <c r="Q95" s="1884"/>
      <c r="R95" s="1884"/>
      <c r="S95" s="1884"/>
      <c r="T95" s="1895"/>
      <c r="U95" s="1884" t="s">
        <v>439</v>
      </c>
      <c r="V95" s="1884"/>
      <c r="W95" s="1884"/>
      <c r="X95" s="1884"/>
      <c r="Y95" s="1884"/>
      <c r="Z95" s="1884"/>
      <c r="AA95" s="1884"/>
      <c r="AB95" s="1884"/>
      <c r="AC95" s="1884"/>
      <c r="AD95" s="1884"/>
      <c r="AE95" s="1885"/>
      <c r="AI95" s="10"/>
      <c r="AM95" s="9" t="s">
        <v>441</v>
      </c>
      <c r="AN95" s="10" t="b">
        <f>IF(AA84=AM95,1)</f>
        <v>0</v>
      </c>
    </row>
    <row r="96" spans="2:40">
      <c r="B96" s="1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3"/>
      <c r="AM96" s="11"/>
      <c r="AN96" s="13"/>
    </row>
    <row r="97" spans="2:41" ht="4.5" customHeight="1">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row>
    <row r="98" spans="2:41" ht="13.5" customHeight="1">
      <c r="B98" s="1667" t="str">
        <f>IF(SUM(AN99:AN101)&gt;=1,AM106,"")</f>
        <v/>
      </c>
      <c r="C98" s="1667"/>
      <c r="D98" s="1667"/>
      <c r="E98" s="1667"/>
      <c r="F98" s="1667"/>
      <c r="G98" s="1667"/>
      <c r="H98" s="1667"/>
      <c r="I98" s="1667"/>
      <c r="J98" s="1667"/>
      <c r="K98" s="1667"/>
      <c r="L98" s="1667"/>
      <c r="M98" s="1667"/>
      <c r="N98" s="1667"/>
      <c r="O98" s="1667"/>
      <c r="P98" s="1667"/>
      <c r="Q98" s="1667"/>
      <c r="R98" s="1667"/>
      <c r="S98" s="1667"/>
      <c r="T98" s="1667"/>
      <c r="U98" s="1667"/>
      <c r="V98" s="1667"/>
      <c r="W98" s="1667"/>
      <c r="X98" s="1667"/>
      <c r="Y98" s="1667"/>
      <c r="Z98" s="1667"/>
      <c r="AA98" s="1667"/>
      <c r="AB98" s="1667"/>
      <c r="AC98" s="1667"/>
      <c r="AD98" s="1667"/>
      <c r="AE98" s="1667"/>
      <c r="AF98" s="1667"/>
      <c r="AG98" s="1667"/>
      <c r="AH98" s="1667"/>
      <c r="AI98" s="1667"/>
    </row>
    <row r="99" spans="2:41" ht="4.5" customHeight="1">
      <c r="B99" s="1668"/>
      <c r="C99" s="1668"/>
      <c r="D99" s="1668"/>
      <c r="E99" s="1668"/>
      <c r="F99" s="1668"/>
      <c r="G99" s="1668"/>
      <c r="H99" s="1668"/>
      <c r="I99" s="1668"/>
      <c r="J99" s="1668"/>
      <c r="K99" s="1668"/>
      <c r="L99" s="1668"/>
      <c r="M99" s="1668"/>
      <c r="N99" s="1668"/>
      <c r="O99" s="1668"/>
      <c r="P99" s="1668"/>
      <c r="Q99" s="1668"/>
      <c r="R99" s="1668"/>
      <c r="S99" s="1668"/>
      <c r="T99" s="1668"/>
      <c r="U99" s="1668"/>
      <c r="V99" s="1668"/>
      <c r="W99" s="1668"/>
      <c r="X99" s="1668"/>
      <c r="Y99" s="1668"/>
      <c r="Z99" s="1668"/>
      <c r="AA99" s="1668"/>
      <c r="AB99" s="1668"/>
      <c r="AC99" s="1668"/>
      <c r="AD99" s="1668"/>
      <c r="AE99" s="1668"/>
      <c r="AF99" s="1668"/>
      <c r="AG99" s="1668"/>
      <c r="AH99" s="1668"/>
      <c r="AI99" s="1668"/>
      <c r="AM99" s="76"/>
      <c r="AN99" s="77"/>
    </row>
    <row r="100" spans="2:41">
      <c r="B100" s="1667" t="str">
        <f>IF(SUM(AN99:AN101)&gt;=1,AM107,"")</f>
        <v/>
      </c>
      <c r="C100" s="1667"/>
      <c r="D100" s="1667"/>
      <c r="E100" s="1667"/>
      <c r="F100" s="1667"/>
      <c r="G100" s="1667"/>
      <c r="H100" s="1667"/>
      <c r="I100" s="1667"/>
      <c r="J100" s="1667"/>
      <c r="K100" s="1667"/>
      <c r="L100" s="1667"/>
      <c r="M100" s="1667"/>
      <c r="N100" s="1667"/>
      <c r="O100" s="1667"/>
      <c r="P100" s="1667"/>
      <c r="Q100" s="1667"/>
      <c r="R100" s="1667"/>
      <c r="S100" s="1667"/>
      <c r="T100" s="1667"/>
      <c r="U100" s="1667"/>
      <c r="V100" s="1667"/>
      <c r="W100" s="1667"/>
      <c r="X100" s="1667"/>
      <c r="Y100" s="1667"/>
      <c r="Z100" s="1667"/>
      <c r="AA100" s="1667"/>
      <c r="AB100" s="1667"/>
      <c r="AC100" s="1667"/>
      <c r="AD100" s="1667"/>
      <c r="AE100" s="1667"/>
      <c r="AF100" s="1667"/>
      <c r="AG100" s="1667"/>
      <c r="AH100" s="1667"/>
      <c r="AI100" s="1667"/>
      <c r="AM100" s="78" t="s">
        <v>770</v>
      </c>
      <c r="AN100" s="80">
        <f>IF(AND(AN8=1,OR(AN85=F93,AN85=F92,AN85=F91,AN85=F90)),1,0)</f>
        <v>0</v>
      </c>
    </row>
    <row r="101" spans="2:41">
      <c r="B101" s="1667"/>
      <c r="C101" s="1667"/>
      <c r="D101" s="1667"/>
      <c r="E101" s="1667"/>
      <c r="F101" s="1667"/>
      <c r="G101" s="1667"/>
      <c r="H101" s="1667"/>
      <c r="I101" s="1667"/>
      <c r="J101" s="1667"/>
      <c r="K101" s="1667"/>
      <c r="L101" s="1667"/>
      <c r="M101" s="1667"/>
      <c r="N101" s="1667"/>
      <c r="O101" s="1667"/>
      <c r="P101" s="1667"/>
      <c r="Q101" s="1667"/>
      <c r="R101" s="1667"/>
      <c r="S101" s="1667"/>
      <c r="T101" s="1667"/>
      <c r="U101" s="1667"/>
      <c r="V101" s="1667"/>
      <c r="W101" s="1667"/>
      <c r="X101" s="1667"/>
      <c r="Y101" s="1667"/>
      <c r="Z101" s="1667"/>
      <c r="AA101" s="1667"/>
      <c r="AB101" s="1667"/>
      <c r="AC101" s="1667"/>
      <c r="AD101" s="1667"/>
      <c r="AE101" s="1667"/>
      <c r="AF101" s="1667"/>
      <c r="AG101" s="1667"/>
      <c r="AH101" s="1667"/>
      <c r="AI101" s="1667"/>
      <c r="AM101" s="82" t="s">
        <v>771</v>
      </c>
      <c r="AN101" s="83">
        <f>IF(OR(AN42=1,AN76=1),1,0)</f>
        <v>0</v>
      </c>
      <c r="AO101" s="3">
        <f>SUM(AN100:AN101)</f>
        <v>0</v>
      </c>
    </row>
    <row r="102" spans="2:41" ht="33.950000000000003" customHeight="1">
      <c r="B102" s="1667"/>
      <c r="C102" s="1667"/>
      <c r="D102" s="1667"/>
      <c r="E102" s="1667"/>
      <c r="F102" s="1667"/>
      <c r="G102" s="1667"/>
      <c r="H102" s="1667"/>
      <c r="I102" s="1667"/>
      <c r="J102" s="1667"/>
      <c r="K102" s="1667"/>
      <c r="L102" s="1667"/>
      <c r="M102" s="1667"/>
      <c r="N102" s="1667"/>
      <c r="O102" s="1667"/>
      <c r="P102" s="1667"/>
      <c r="Q102" s="1667"/>
      <c r="R102" s="1667"/>
      <c r="S102" s="1667"/>
      <c r="T102" s="1667"/>
      <c r="U102" s="1667"/>
      <c r="V102" s="1667"/>
      <c r="W102" s="1667"/>
      <c r="X102" s="1667"/>
      <c r="Y102" s="1667"/>
      <c r="Z102" s="1667"/>
      <c r="AA102" s="1667"/>
      <c r="AB102" s="1667"/>
      <c r="AC102" s="1667"/>
      <c r="AD102" s="1667"/>
      <c r="AE102" s="1667"/>
      <c r="AF102" s="1667"/>
      <c r="AG102" s="1667"/>
      <c r="AH102" s="1667"/>
      <c r="AI102" s="1667"/>
      <c r="AM102" s="5"/>
      <c r="AN102" s="4"/>
    </row>
    <row r="103" spans="2:41" ht="14.1" customHeight="1">
      <c r="B103" s="3" t="str">
        <f>IF(SUM(AN99:AN101)&gt;=1,AM108,"")</f>
        <v/>
      </c>
      <c r="P103" s="1669" t="s">
        <v>781</v>
      </c>
      <c r="Q103" s="1669"/>
      <c r="R103" s="1669"/>
      <c r="S103" s="1669"/>
      <c r="T103" s="1669"/>
      <c r="U103" s="1669"/>
      <c r="V103" s="1669"/>
      <c r="W103" s="1669"/>
      <c r="X103" s="1669"/>
      <c r="Y103" s="1669"/>
      <c r="Z103" s="1669"/>
      <c r="AM103" s="84" t="s">
        <v>772</v>
      </c>
      <c r="AN103" s="84">
        <f>IF(P103="希望します。",1,0)</f>
        <v>1</v>
      </c>
    </row>
    <row r="104" spans="2:41">
      <c r="AN104" s="3" t="s">
        <v>773</v>
      </c>
    </row>
    <row r="105" spans="2:41">
      <c r="AN105" s="3" t="str">
        <f>P103</f>
        <v>希望します。</v>
      </c>
    </row>
    <row r="106" spans="2:41">
      <c r="AM106" s="3" t="s">
        <v>774</v>
      </c>
    </row>
    <row r="107" spans="2:41">
      <c r="AM107" s="3" t="s">
        <v>775</v>
      </c>
    </row>
    <row r="108" spans="2:41">
      <c r="AM108" s="3" t="s">
        <v>776</v>
      </c>
    </row>
    <row r="109" spans="2:41">
      <c r="AM109" s="3" t="s">
        <v>777</v>
      </c>
    </row>
    <row r="110" spans="2:41">
      <c r="AM110" s="3" t="s">
        <v>778</v>
      </c>
    </row>
  </sheetData>
  <sheetProtection algorithmName="SHA-512" hashValue="VVIsDH2mAf6wsGFm1uXrIcSLK//M3MlnykVtdkIDVzE8/OxSc7ja1ulmF7XbB+z6o62Ow6F3GLTmqfS7sTOK2Q==" saltValue="DgWeHMRQ1s/g8LcRdzaZEw==" spinCount="100000" sheet="1" objects="1" scenarios="1" formatRows="0" selectLockedCells="1"/>
  <mergeCells count="137">
    <mergeCell ref="U95:AE95"/>
    <mergeCell ref="J90:T90"/>
    <mergeCell ref="J91:T91"/>
    <mergeCell ref="J92:T92"/>
    <mergeCell ref="J93:T93"/>
    <mergeCell ref="J94:T94"/>
    <mergeCell ref="B83:AI83"/>
    <mergeCell ref="J95:T95"/>
    <mergeCell ref="U90:AE90"/>
    <mergeCell ref="U91:AE91"/>
    <mergeCell ref="F93:I93"/>
    <mergeCell ref="F95:I95"/>
    <mergeCell ref="F94:I94"/>
    <mergeCell ref="F92:I92"/>
    <mergeCell ref="U92:AE92"/>
    <mergeCell ref="U93:AE93"/>
    <mergeCell ref="F91:I91"/>
    <mergeCell ref="F90:I90"/>
    <mergeCell ref="B88:AI88"/>
    <mergeCell ref="B71:Z72"/>
    <mergeCell ref="AA71:AI72"/>
    <mergeCell ref="B73:AJ73"/>
    <mergeCell ref="B79:AI79"/>
    <mergeCell ref="B77:Z78"/>
    <mergeCell ref="AA77:AI78"/>
    <mergeCell ref="AA74:AH75"/>
    <mergeCell ref="G68:L68"/>
    <mergeCell ref="M68:R68"/>
    <mergeCell ref="W74:Z75"/>
    <mergeCell ref="B44:AI44"/>
    <mergeCell ref="B45:AI45"/>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J58:O59"/>
    <mergeCell ref="P58:U59"/>
    <mergeCell ref="B34:AJ34"/>
    <mergeCell ref="B39:AJ39"/>
    <mergeCell ref="B40:E41"/>
    <mergeCell ref="I40:I41"/>
    <mergeCell ref="F40:H41"/>
    <mergeCell ref="J40:L41"/>
    <mergeCell ref="M40:P41"/>
    <mergeCell ref="Q40:S41"/>
    <mergeCell ref="J35:P35"/>
    <mergeCell ref="Q35:X35"/>
    <mergeCell ref="Q36:X37"/>
    <mergeCell ref="B35:I35"/>
    <mergeCell ref="T40:V41"/>
    <mergeCell ref="W40:Z41"/>
    <mergeCell ref="B36:I37"/>
    <mergeCell ref="J36:P37"/>
    <mergeCell ref="AI40:AI41"/>
    <mergeCell ref="AA40:AH41"/>
    <mergeCell ref="B4:AI5"/>
    <mergeCell ref="B6:AI6"/>
    <mergeCell ref="Z2:AI2"/>
    <mergeCell ref="S2:Y2"/>
    <mergeCell ref="AA7:AI7"/>
    <mergeCell ref="B11:AI11"/>
    <mergeCell ref="C8:F9"/>
    <mergeCell ref="G8:H9"/>
    <mergeCell ref="I8:K9"/>
    <mergeCell ref="L8:M9"/>
    <mergeCell ref="B1:R2"/>
    <mergeCell ref="B19:AI19"/>
    <mergeCell ref="B12:AI15"/>
    <mergeCell ref="Q8:S9"/>
    <mergeCell ref="W8:Z9"/>
    <mergeCell ref="AA8:AI9"/>
    <mergeCell ref="B20:H21"/>
    <mergeCell ref="B17:Z18"/>
    <mergeCell ref="AA17:AI18"/>
    <mergeCell ref="B22:AI22"/>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98:AI98"/>
    <mergeCell ref="B99:AI99"/>
    <mergeCell ref="B100:AI102"/>
    <mergeCell ref="P103:Z103"/>
    <mergeCell ref="V58:AA59"/>
    <mergeCell ref="D52:I53"/>
    <mergeCell ref="J52:O53"/>
    <mergeCell ref="P52:U53"/>
    <mergeCell ref="V52:AA53"/>
    <mergeCell ref="D54:I55"/>
    <mergeCell ref="J54:O55"/>
    <mergeCell ref="P54:U55"/>
    <mergeCell ref="V54:AA55"/>
    <mergeCell ref="D56:I57"/>
    <mergeCell ref="J56:O57"/>
    <mergeCell ref="P56:U57"/>
    <mergeCell ref="V56:AA57"/>
    <mergeCell ref="W80:Z81"/>
    <mergeCell ref="AI80:AI81"/>
    <mergeCell ref="AA80:AH81"/>
    <mergeCell ref="W84:Z86"/>
    <mergeCell ref="AA84:AI86"/>
    <mergeCell ref="U94:AE94"/>
    <mergeCell ref="S68:AB68"/>
  </mergeCells>
  <phoneticPr fontId="2"/>
  <conditionalFormatting sqref="B20:H21">
    <cfRule type="expression" dxfId="5" priority="2">
      <formula>OR($AA$8="評価対象外",$AA$8="")</formula>
    </cfRule>
    <cfRule type="expression" dxfId="4" priority="3">
      <formula>OR($B$20="",$B$20="選択してください")</formula>
    </cfRule>
  </conditionalFormatting>
  <conditionalFormatting sqref="P103:Z103">
    <cfRule type="expression" dxfId="3" priority="1">
      <formula>$AO$101&lt;&gt;0</formula>
    </cfRule>
  </conditionalFormatting>
  <conditionalFormatting sqref="AA84:AI86">
    <cfRule type="expression" dxfId="2" priority="4" stopIfTrue="1">
      <formula>$AM$90</formula>
    </cfRule>
    <cfRule type="expression" dxfId="1" priority="5" stopIfTrue="1">
      <formula>OR($AM$91,$AM$92,$AM$93)</formula>
    </cfRule>
    <cfRule type="expression" dxfId="0" priority="6" stopIfTrue="1">
      <formula>OR($AM$94,$AM$95)</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5"/>
  <cols>
    <col min="1" max="1" width="13.875" style="29" customWidth="1"/>
    <col min="2" max="2" width="10.125" style="29" bestFit="1" customWidth="1"/>
    <col min="3" max="16384" width="9" style="29"/>
  </cols>
  <sheetData>
    <row r="1" spans="1:2">
      <c r="A1" s="27" t="s">
        <v>480</v>
      </c>
      <c r="B1" s="28" t="s">
        <v>482</v>
      </c>
    </row>
    <row r="2" spans="1:2">
      <c r="A2" s="27" t="s">
        <v>481</v>
      </c>
      <c r="B2" s="28">
        <v>2</v>
      </c>
    </row>
  </sheetData>
  <sheetProtection algorithmName="SHA-512" hashValue="D6+y1ujUGKKKIhntIZsirY6swxYbB2EQJcxNMY72poKlZtoggTrREGyqb3/BAe55rPJQLK3ILgbBd24IOYPUiA==" saltValue="10eJDKIoIAOvnQTJIb0UvA==" spinCount="100000" sheet="1" objects="1" scenarios="1" formatRows="0"/>
  <phoneticPr fontId="74"/>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ABDD25D8D37E4FB9566E53463B22E9" ma:contentTypeVersion="4" ma:contentTypeDescription="新しいドキュメントを作成します。" ma:contentTypeScope="" ma:versionID="64b9f5752c4fc80923af5b195311a898">
  <xsd:schema xmlns:xsd="http://www.w3.org/2001/XMLSchema" xmlns:xs="http://www.w3.org/2001/XMLSchema" xmlns:p="http://schemas.microsoft.com/office/2006/metadata/properties" xmlns:ns2="6a7f8cc1-49d9-407f-a1be-52114136d288" targetNamespace="http://schemas.microsoft.com/office/2006/metadata/properties" ma:root="true" ma:fieldsID="3478c805e311dec026eb90b0aaf3a266" ns2:_="">
    <xsd:import namespace="6a7f8cc1-49d9-407f-a1be-52114136d2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f8cc1-49d9-407f-a1be-52114136d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DFE875-1147-445D-9BEB-85B455D960A5}">
  <ds:schemaRefs>
    <ds:schemaRef ds:uri="http://schemas.microsoft.com/sharepoint/v3/contenttype/forms"/>
  </ds:schemaRefs>
</ds:datastoreItem>
</file>

<file path=customXml/itemProps2.xml><?xml version="1.0" encoding="utf-8"?>
<ds:datastoreItem xmlns:ds="http://schemas.openxmlformats.org/officeDocument/2006/customXml" ds:itemID="{1567535B-43FE-4960-A129-215718607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f8cc1-49d9-407f-a1be-52114136d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8694D-512C-4246-B9C9-3639D62AD596}">
  <ds:schemaRefs>
    <ds:schemaRef ds:uri="http://schemas.microsoft.com/office/2006/documentManagement/types"/>
    <ds:schemaRef ds:uri="6a7f8cc1-49d9-407f-a1be-52114136d288"/>
    <ds:schemaRef ds:uri="http://schemas.microsoft.com/office/infopath/2007/PartnerControls"/>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点検表（商業版）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'点検表（商業版）'!Print_Area</vt:lpstr>
      <vt:lpstr>評価シート!Print_Area</vt:lpstr>
      <vt:lpstr>'点検表（商業版）'!Print_Titles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2024-05-30T02:14:35Z</cp:lastPrinted>
  <dcterms:created xsi:type="dcterms:W3CDTF">2010-04-21T02:50:25Z</dcterms:created>
  <dcterms:modified xsi:type="dcterms:W3CDTF">2025-05-02T07:45:01Z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0x010100EBABDD25D8D37E4FB9566E53463B22E9</vt:lpwstr>
  </property>
</Properties>
</file>