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3E182FD8-7E67-4EA5-91B0-CCFC787B7DA4}" xr6:coauthVersionLast="47" xr6:coauthVersionMax="47" xr10:uidLastSave="{00000000-0000-0000-0000-000000000000}"/>
  <bookViews>
    <workbookView xWindow="-120" yWindow="-120" windowWidth="29040" windowHeight="15720" tabRatio="893" xr2:uid="{00000000-000D-0000-FFFF-FFFF00000000}"/>
  </bookViews>
  <sheets>
    <sheet name="main" sheetId="17" r:id="rId1"/>
    <sheet name="変更履歴" sheetId="14" r:id="rId2"/>
    <sheet name="その１事業者基本情報_入力シート（一部非公開）" sheetId="1" r:id="rId3"/>
    <sheet name="その２基準適合状況" sheetId="8" r:id="rId4"/>
    <sheet name="その３環境配慮措置" sheetId="6" r:id="rId5"/>
    <sheet name="その４建物別情報（住宅）_入力シート（非公開）" sheetId="10" r:id="rId6"/>
    <sheet name="その４建物別情報（非住宅）_入力シート（非公開）" sheetId="11" r:id="rId7"/>
    <sheet name="その５既存建築物_入力シート（非公開）" sheetId="5" r:id="rId8"/>
    <sheet name="その６再エネ基準量_（非公開）" sheetId="9" r:id="rId9"/>
    <sheet name="マスタ" sheetId="15" r:id="rId10"/>
  </sheets>
  <definedNames>
    <definedName name="_xlnm._FilterDatabase" localSheetId="5" hidden="1">'その４建物別情報（住宅）_入力シート（非公開）'!#REF!</definedName>
    <definedName name="_xlnm.Print_Area" localSheetId="0">main!$A$1:$S$40</definedName>
    <definedName name="_xlnm.Print_Area" localSheetId="2">'その１事業者基本情報_入力シート（一部非公開）'!$A$1:$AB$44</definedName>
    <definedName name="_xlnm.Print_Area" localSheetId="3">その２基準適合状況!$A$1:$K$28</definedName>
    <definedName name="_xlnm.Print_Area" localSheetId="4">その３環境配慮措置!$A$1:$G$28</definedName>
    <definedName name="_xlnm.Print_Area" localSheetId="5">'その４建物別情報（住宅）_入力シート（非公開）'!$A$1:$BJ$113</definedName>
    <definedName name="_xlnm.Print_Area" localSheetId="6">'その４建物別情報（非住宅）_入力シート（非公開）'!$A$1:$BB$42</definedName>
    <definedName name="_xlnm.Print_Area" localSheetId="7">'その５既存建築物_入力シート（非公開）'!$A$1:$O$40</definedName>
    <definedName name="_xlnm.Print_Area" localSheetId="8">'その６再エネ基準量_（非公開）'!$A$1:$M$33</definedName>
    <definedName name="チェック結果" localSheetId="2">'その１事業者基本情報_入力シート（一部非公開）'!$N$2</definedName>
    <definedName name="チェック結果" localSheetId="5">'その４建物別情報（住宅）_入力シート（非公開）'!$AV$2</definedName>
    <definedName name="チェック結果" localSheetId="6">'その４建物別情報（非住宅）_入力シート（非公開）'!$AT$2</definedName>
    <definedName name="チェック結果" localSheetId="7">'その５既存建築物_入力シート（非公開）'!$O$2</definedName>
    <definedName name="引渡し状況区分">マスタ!$L$3:$L$4</definedName>
    <definedName name="屋根区分">マスタ!$H$3:$H$4</definedName>
    <definedName name="該当事項区分">マスタ!$G$3:$G$4</definedName>
    <definedName name="該当有無区分">マスタ!$F$3:$F$4</definedName>
    <definedName name="既存建築物_建物区分">マスタ!$K$3:$K$5</definedName>
    <definedName name="区域区分">マスタ!$E$3:$E$55</definedName>
    <definedName name="区市町村">マスタ!$D$3:$D$55</definedName>
    <definedName name="住宅区分">マスタ!$C$3:$C$8</definedName>
    <definedName name="消費税">0.08</definedName>
    <definedName name="説明実施区分">マスタ!$I$3:$I$6</definedName>
    <definedName name="駐車施設の区画の有無">マスタ!$N$3:$N$5</definedName>
    <definedName name="適合区分_仕様基準用">マスタ!$B$3:$B$4</definedName>
    <definedName name="適合区分_省エネ用">マスタ!$M$3:$M$4</definedName>
    <definedName name="入力不可用">マスタ!$O$3</definedName>
    <definedName name="入力不可用2">マスタ!$P$3</definedName>
    <definedName name="背景色オプション" localSheetId="0">main!$E$42</definedName>
    <definedName name="非住宅_用途区分">マスタ!$J$3:$J$11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 i="17" l="1" a="1"/>
  <c r="R2" i="17" s="1"/>
  <c r="BM13" i="10" l="1"/>
  <c r="BN13" i="10"/>
  <c r="BM14" i="10"/>
  <c r="BN14" i="10"/>
  <c r="BM15" i="10"/>
  <c r="BN15" i="10"/>
  <c r="BM16" i="10"/>
  <c r="BN16" i="10"/>
  <c r="BM17" i="10"/>
  <c r="BN17" i="10"/>
  <c r="BM18" i="10"/>
  <c r="BN18" i="10"/>
  <c r="BM19" i="10"/>
  <c r="BN19" i="10"/>
  <c r="BM20" i="10"/>
  <c r="BN20" i="10"/>
  <c r="BM21" i="10"/>
  <c r="BN21" i="10"/>
  <c r="BM22" i="10"/>
  <c r="BN22" i="10"/>
  <c r="BM23" i="10"/>
  <c r="BN23" i="10"/>
  <c r="BM24" i="10"/>
  <c r="BN24" i="10"/>
  <c r="BM25" i="10"/>
  <c r="BN25" i="10"/>
  <c r="BM26" i="10"/>
  <c r="BN26" i="10"/>
  <c r="BM27" i="10"/>
  <c r="BN27" i="10"/>
  <c r="BM28" i="10"/>
  <c r="BN28" i="10"/>
  <c r="BM29" i="10"/>
  <c r="BN29" i="10"/>
  <c r="BM30" i="10"/>
  <c r="BN30" i="10"/>
  <c r="BM31" i="10"/>
  <c r="BN31" i="10"/>
  <c r="BM32" i="10"/>
  <c r="BN32" i="10"/>
  <c r="BM33" i="10"/>
  <c r="BN33" i="10"/>
  <c r="BM34" i="10"/>
  <c r="BN34" i="10"/>
  <c r="BM35" i="10"/>
  <c r="BN35" i="10"/>
  <c r="BM36" i="10"/>
  <c r="BN36" i="10"/>
  <c r="BM37" i="10"/>
  <c r="BN37" i="10"/>
  <c r="BM38" i="10"/>
  <c r="BN38" i="10"/>
  <c r="BM39" i="10"/>
  <c r="BN39" i="10"/>
  <c r="BM40" i="10"/>
  <c r="BN40" i="10"/>
  <c r="BM41" i="10"/>
  <c r="BN41" i="10"/>
  <c r="BM42" i="10"/>
  <c r="BN42" i="10"/>
  <c r="BM43" i="10"/>
  <c r="BN43" i="10"/>
  <c r="BM44" i="10"/>
  <c r="BN44" i="10"/>
  <c r="BM45" i="10"/>
  <c r="BN45" i="10"/>
  <c r="BM46" i="10"/>
  <c r="BN46" i="10"/>
  <c r="BM47" i="10"/>
  <c r="BN47" i="10"/>
  <c r="BM48" i="10"/>
  <c r="BN48" i="10"/>
  <c r="BM49" i="10"/>
  <c r="BN49" i="10"/>
  <c r="BM50" i="10"/>
  <c r="BN50" i="10"/>
  <c r="BM51" i="10"/>
  <c r="BN51" i="10"/>
  <c r="BM52" i="10"/>
  <c r="BN52" i="10"/>
  <c r="BM53" i="10"/>
  <c r="BN53" i="10"/>
  <c r="BM54" i="10"/>
  <c r="BN54" i="10"/>
  <c r="BM55" i="10"/>
  <c r="BN55" i="10"/>
  <c r="BM56" i="10"/>
  <c r="BN56" i="10"/>
  <c r="BM57" i="10"/>
  <c r="BN57" i="10"/>
  <c r="BM58" i="10"/>
  <c r="BN58" i="10"/>
  <c r="BM59" i="10"/>
  <c r="BN59" i="10"/>
  <c r="BM60" i="10"/>
  <c r="BN60" i="10"/>
  <c r="BM61" i="10"/>
  <c r="BN61" i="10"/>
  <c r="BM62" i="10"/>
  <c r="BN62" i="10"/>
  <c r="BM63" i="10"/>
  <c r="BN63" i="10"/>
  <c r="BM64" i="10"/>
  <c r="BN64" i="10"/>
  <c r="BM65" i="10"/>
  <c r="BN65" i="10"/>
  <c r="BM66" i="10"/>
  <c r="BN66" i="10"/>
  <c r="BM67" i="10"/>
  <c r="BN67" i="10"/>
  <c r="BM68" i="10"/>
  <c r="BN68" i="10"/>
  <c r="BM69" i="10"/>
  <c r="BN69" i="10"/>
  <c r="BM70" i="10"/>
  <c r="BN70" i="10"/>
  <c r="BM71" i="10"/>
  <c r="BN71" i="10"/>
  <c r="BM72" i="10"/>
  <c r="BN72" i="10"/>
  <c r="BM73" i="10"/>
  <c r="BN73" i="10"/>
  <c r="BM74" i="10"/>
  <c r="BN74" i="10"/>
  <c r="BM75" i="10"/>
  <c r="BN75" i="10"/>
  <c r="BM76" i="10"/>
  <c r="BN76" i="10"/>
  <c r="BM77" i="10"/>
  <c r="BN77" i="10"/>
  <c r="BM78" i="10"/>
  <c r="BN78" i="10"/>
  <c r="BM79" i="10"/>
  <c r="BN79" i="10"/>
  <c r="BM80" i="10"/>
  <c r="BN80" i="10"/>
  <c r="BM81" i="10"/>
  <c r="BN81" i="10"/>
  <c r="BM82" i="10"/>
  <c r="BN82" i="10"/>
  <c r="BM83" i="10"/>
  <c r="BN83" i="10"/>
  <c r="BM84" i="10"/>
  <c r="BN84" i="10"/>
  <c r="BM85" i="10"/>
  <c r="BN85" i="10"/>
  <c r="BM86" i="10"/>
  <c r="BN86" i="10"/>
  <c r="BM87" i="10"/>
  <c r="BN87" i="10"/>
  <c r="BM88" i="10"/>
  <c r="BN88" i="10"/>
  <c r="BM89" i="10"/>
  <c r="BN89" i="10"/>
  <c r="BM90" i="10"/>
  <c r="BN90" i="10"/>
  <c r="BM91" i="10"/>
  <c r="BN91" i="10"/>
  <c r="BM92" i="10"/>
  <c r="BN92" i="10"/>
  <c r="BM93" i="10"/>
  <c r="BN93" i="10"/>
  <c r="BM94" i="10"/>
  <c r="BN94" i="10"/>
  <c r="BM95" i="10"/>
  <c r="BN95" i="10"/>
  <c r="BM96" i="10"/>
  <c r="BN96" i="10"/>
  <c r="BM97" i="10"/>
  <c r="BN97" i="10"/>
  <c r="BM98" i="10"/>
  <c r="BN98" i="10"/>
  <c r="BM99" i="10"/>
  <c r="BN99" i="10"/>
  <c r="BM100" i="10"/>
  <c r="BN100" i="10"/>
  <c r="BM101" i="10"/>
  <c r="BN101" i="10"/>
  <c r="BM102" i="10"/>
  <c r="BN102" i="10"/>
  <c r="BM103" i="10"/>
  <c r="BN103" i="10"/>
  <c r="BM104" i="10"/>
  <c r="BN104" i="10"/>
  <c r="BM105" i="10"/>
  <c r="BN105" i="10"/>
  <c r="BM106" i="10"/>
  <c r="BN106" i="10"/>
  <c r="BM107" i="10"/>
  <c r="BN107" i="10"/>
  <c r="BM108" i="10"/>
  <c r="BN108" i="10"/>
  <c r="BM109" i="10"/>
  <c r="BN109" i="10"/>
  <c r="BM110" i="10"/>
  <c r="BN110" i="10"/>
  <c r="BM111" i="10"/>
  <c r="BN111" i="10"/>
  <c r="BM112" i="10"/>
  <c r="BN112" i="10"/>
  <c r="BN12" i="10"/>
  <c r="BM12" i="10"/>
  <c r="I12" i="11"/>
  <c r="BL112" i="10" l="1"/>
  <c r="BI112" i="10" s="1"/>
  <c r="BJ112" i="10"/>
  <c r="AP112" i="10"/>
  <c r="V112" i="10"/>
  <c r="X112" i="10" s="1"/>
  <c r="BP112" i="10" s="1"/>
  <c r="S112" i="10"/>
  <c r="P112" i="10"/>
  <c r="N112" i="10"/>
  <c r="H112" i="10"/>
  <c r="BL111" i="10"/>
  <c r="BE111" i="10" s="1"/>
  <c r="BJ111" i="10"/>
  <c r="AP111" i="10"/>
  <c r="V111" i="10"/>
  <c r="X111" i="10" s="1"/>
  <c r="BP111" i="10" s="1"/>
  <c r="S111" i="10"/>
  <c r="P111" i="10"/>
  <c r="N111" i="10"/>
  <c r="H111" i="10"/>
  <c r="BL110" i="10"/>
  <c r="BE110" i="10" s="1"/>
  <c r="BJ110" i="10"/>
  <c r="AP110" i="10"/>
  <c r="V110" i="10"/>
  <c r="X110" i="10" s="1"/>
  <c r="BP110" i="10" s="1"/>
  <c r="S110" i="10"/>
  <c r="P110" i="10"/>
  <c r="N110" i="10"/>
  <c r="H110" i="10"/>
  <c r="BL109" i="10"/>
  <c r="BE109" i="10" s="1"/>
  <c r="BJ109" i="10"/>
  <c r="AP109" i="10"/>
  <c r="V109" i="10"/>
  <c r="X109" i="10" s="1"/>
  <c r="BP109" i="10" s="1"/>
  <c r="S109" i="10"/>
  <c r="P109" i="10"/>
  <c r="N109" i="10"/>
  <c r="H109" i="10"/>
  <c r="BL108" i="10"/>
  <c r="BI108" i="10" s="1"/>
  <c r="BJ108" i="10"/>
  <c r="AP108" i="10"/>
  <c r="V108" i="10"/>
  <c r="X108" i="10" s="1"/>
  <c r="BP108" i="10" s="1"/>
  <c r="S108" i="10"/>
  <c r="P108" i="10"/>
  <c r="N108" i="10"/>
  <c r="H108" i="10"/>
  <c r="BL107" i="10"/>
  <c r="BI107" i="10" s="1"/>
  <c r="BJ107" i="10"/>
  <c r="AP107" i="10"/>
  <c r="V107" i="10"/>
  <c r="X107" i="10" s="1"/>
  <c r="BP107" i="10" s="1"/>
  <c r="S107" i="10"/>
  <c r="P107" i="10"/>
  <c r="N107" i="10"/>
  <c r="H107" i="10"/>
  <c r="BL106" i="10"/>
  <c r="BE106" i="10" s="1"/>
  <c r="BJ106" i="10"/>
  <c r="AP106" i="10"/>
  <c r="V106" i="10"/>
  <c r="X106" i="10" s="1"/>
  <c r="BP106" i="10" s="1"/>
  <c r="S106" i="10"/>
  <c r="P106" i="10"/>
  <c r="N106" i="10"/>
  <c r="H106" i="10"/>
  <c r="BL105" i="10"/>
  <c r="BI105" i="10" s="1"/>
  <c r="BJ105" i="10"/>
  <c r="AP105" i="10"/>
  <c r="V105" i="10"/>
  <c r="X105" i="10" s="1"/>
  <c r="BP105" i="10" s="1"/>
  <c r="S105" i="10"/>
  <c r="P105" i="10"/>
  <c r="N105" i="10"/>
  <c r="H105" i="10"/>
  <c r="BL104" i="10"/>
  <c r="BI104" i="10" s="1"/>
  <c r="BJ104" i="10"/>
  <c r="AP104" i="10"/>
  <c r="V104" i="10"/>
  <c r="X104" i="10" s="1"/>
  <c r="BP104" i="10" s="1"/>
  <c r="S104" i="10"/>
  <c r="P104" i="10"/>
  <c r="N104" i="10"/>
  <c r="H104" i="10"/>
  <c r="BL103" i="10"/>
  <c r="BE103" i="10" s="1"/>
  <c r="BJ103" i="10"/>
  <c r="AP103" i="10"/>
  <c r="V103" i="10"/>
  <c r="X103" i="10" s="1"/>
  <c r="BP103" i="10" s="1"/>
  <c r="S103" i="10"/>
  <c r="P103" i="10"/>
  <c r="N103" i="10"/>
  <c r="H103" i="10"/>
  <c r="BL102" i="10"/>
  <c r="BE102" i="10" s="1"/>
  <c r="BJ102" i="10"/>
  <c r="AP102" i="10"/>
  <c r="V102" i="10"/>
  <c r="X102" i="10" s="1"/>
  <c r="BP102" i="10" s="1"/>
  <c r="S102" i="10"/>
  <c r="P102" i="10"/>
  <c r="N102" i="10"/>
  <c r="H102" i="10"/>
  <c r="BL101" i="10"/>
  <c r="BE101" i="10" s="1"/>
  <c r="BJ101" i="10"/>
  <c r="AP101" i="10"/>
  <c r="V101" i="10"/>
  <c r="X101" i="10" s="1"/>
  <c r="BP101" i="10" s="1"/>
  <c r="S101" i="10"/>
  <c r="P101" i="10"/>
  <c r="N101" i="10"/>
  <c r="H101" i="10"/>
  <c r="BL100" i="10"/>
  <c r="BE100" i="10" s="1"/>
  <c r="BJ100" i="10"/>
  <c r="AP100" i="10"/>
  <c r="V100" i="10"/>
  <c r="X100" i="10" s="1"/>
  <c r="BP100" i="10" s="1"/>
  <c r="S100" i="10"/>
  <c r="P100" i="10"/>
  <c r="N100" i="10"/>
  <c r="H100" i="10"/>
  <c r="BL99" i="10"/>
  <c r="BE99" i="10" s="1"/>
  <c r="BJ99" i="10"/>
  <c r="AP99" i="10"/>
  <c r="V99" i="10"/>
  <c r="X99" i="10" s="1"/>
  <c r="BP99" i="10" s="1"/>
  <c r="S99" i="10"/>
  <c r="P99" i="10"/>
  <c r="N99" i="10"/>
  <c r="H99" i="10"/>
  <c r="BL98" i="10"/>
  <c r="BE98" i="10" s="1"/>
  <c r="BJ98" i="10"/>
  <c r="AP98" i="10"/>
  <c r="V98" i="10"/>
  <c r="X98" i="10" s="1"/>
  <c r="BP98" i="10" s="1"/>
  <c r="S98" i="10"/>
  <c r="P98" i="10"/>
  <c r="N98" i="10"/>
  <c r="H98" i="10"/>
  <c r="BL97" i="10"/>
  <c r="BE97" i="10" s="1"/>
  <c r="BJ97" i="10"/>
  <c r="AP97" i="10"/>
  <c r="V97" i="10"/>
  <c r="X97" i="10" s="1"/>
  <c r="BP97" i="10" s="1"/>
  <c r="S97" i="10"/>
  <c r="P97" i="10"/>
  <c r="N97" i="10"/>
  <c r="H97" i="10"/>
  <c r="BL96" i="10"/>
  <c r="BE96" i="10" s="1"/>
  <c r="BJ96" i="10"/>
  <c r="AP96" i="10"/>
  <c r="V96" i="10"/>
  <c r="X96" i="10" s="1"/>
  <c r="BP96" i="10" s="1"/>
  <c r="S96" i="10"/>
  <c r="P96" i="10"/>
  <c r="N96" i="10"/>
  <c r="H96" i="10"/>
  <c r="BL95" i="10"/>
  <c r="BE95" i="10" s="1"/>
  <c r="BJ95" i="10"/>
  <c r="AP95" i="10"/>
  <c r="V95" i="10"/>
  <c r="X95" i="10" s="1"/>
  <c r="BP95" i="10" s="1"/>
  <c r="S95" i="10"/>
  <c r="P95" i="10"/>
  <c r="N95" i="10"/>
  <c r="H95" i="10"/>
  <c r="BL94" i="10"/>
  <c r="BI94" i="10" s="1"/>
  <c r="BJ94" i="10"/>
  <c r="AP94" i="10"/>
  <c r="V94" i="10"/>
  <c r="X94" i="10" s="1"/>
  <c r="BP94" i="10" s="1"/>
  <c r="S94" i="10"/>
  <c r="P94" i="10"/>
  <c r="N94" i="10"/>
  <c r="H94" i="10"/>
  <c r="BL93" i="10"/>
  <c r="BE93" i="10" s="1"/>
  <c r="BJ93" i="10"/>
  <c r="AP93" i="10"/>
  <c r="V93" i="10"/>
  <c r="X93" i="10" s="1"/>
  <c r="BP93" i="10" s="1"/>
  <c r="S93" i="10"/>
  <c r="P93" i="10"/>
  <c r="N93" i="10"/>
  <c r="H93" i="10"/>
  <c r="BL92" i="10"/>
  <c r="BI92" i="10" s="1"/>
  <c r="BJ92" i="10"/>
  <c r="AP92" i="10"/>
  <c r="V92" i="10"/>
  <c r="X92" i="10" s="1"/>
  <c r="BP92" i="10" s="1"/>
  <c r="S92" i="10"/>
  <c r="P92" i="10"/>
  <c r="N92" i="10"/>
  <c r="H92" i="10"/>
  <c r="BL91" i="10"/>
  <c r="BE91" i="10" s="1"/>
  <c r="BJ91" i="10"/>
  <c r="AP91" i="10"/>
  <c r="V91" i="10"/>
  <c r="X91" i="10" s="1"/>
  <c r="BP91" i="10" s="1"/>
  <c r="S91" i="10"/>
  <c r="P91" i="10"/>
  <c r="N91" i="10"/>
  <c r="H91" i="10"/>
  <c r="BL90" i="10"/>
  <c r="BE90" i="10" s="1"/>
  <c r="BJ90" i="10"/>
  <c r="AP90" i="10"/>
  <c r="V90" i="10"/>
  <c r="X90" i="10" s="1"/>
  <c r="BP90" i="10" s="1"/>
  <c r="S90" i="10"/>
  <c r="P90" i="10"/>
  <c r="N90" i="10"/>
  <c r="H90" i="10"/>
  <c r="BL89" i="10"/>
  <c r="BE89" i="10" s="1"/>
  <c r="BJ89" i="10"/>
  <c r="AP89" i="10"/>
  <c r="V89" i="10"/>
  <c r="X89" i="10" s="1"/>
  <c r="BP89" i="10" s="1"/>
  <c r="S89" i="10"/>
  <c r="P89" i="10"/>
  <c r="N89" i="10"/>
  <c r="H89" i="10"/>
  <c r="BL88" i="10"/>
  <c r="BE88" i="10" s="1"/>
  <c r="BJ88" i="10"/>
  <c r="AP88" i="10"/>
  <c r="V88" i="10"/>
  <c r="X88" i="10" s="1"/>
  <c r="BP88" i="10" s="1"/>
  <c r="S88" i="10"/>
  <c r="P88" i="10"/>
  <c r="N88" i="10"/>
  <c r="H88" i="10"/>
  <c r="BL87" i="10"/>
  <c r="BE87" i="10" s="1"/>
  <c r="BJ87" i="10"/>
  <c r="AP87" i="10"/>
  <c r="V87" i="10"/>
  <c r="X87" i="10" s="1"/>
  <c r="BP87" i="10" s="1"/>
  <c r="S87" i="10"/>
  <c r="P87" i="10"/>
  <c r="N87" i="10"/>
  <c r="H87" i="10"/>
  <c r="BL86" i="10"/>
  <c r="BI86" i="10" s="1"/>
  <c r="BJ86" i="10"/>
  <c r="AP86" i="10"/>
  <c r="V86" i="10"/>
  <c r="X86" i="10" s="1"/>
  <c r="BP86" i="10" s="1"/>
  <c r="S86" i="10"/>
  <c r="P86" i="10"/>
  <c r="N86" i="10"/>
  <c r="H86" i="10"/>
  <c r="BL85" i="10"/>
  <c r="BE85" i="10" s="1"/>
  <c r="BJ85" i="10"/>
  <c r="AP85" i="10"/>
  <c r="V85" i="10"/>
  <c r="X85" i="10" s="1"/>
  <c r="BP85" i="10" s="1"/>
  <c r="S85" i="10"/>
  <c r="P85" i="10"/>
  <c r="N85" i="10"/>
  <c r="H85" i="10"/>
  <c r="BL84" i="10"/>
  <c r="BI84" i="10" s="1"/>
  <c r="BJ84" i="10"/>
  <c r="AP84" i="10"/>
  <c r="V84" i="10"/>
  <c r="X84" i="10" s="1"/>
  <c r="BP84" i="10" s="1"/>
  <c r="S84" i="10"/>
  <c r="P84" i="10"/>
  <c r="N84" i="10"/>
  <c r="H84" i="10"/>
  <c r="BL83" i="10"/>
  <c r="BE83" i="10" s="1"/>
  <c r="BJ83" i="10"/>
  <c r="AP83" i="10"/>
  <c r="V83" i="10"/>
  <c r="X83" i="10" s="1"/>
  <c r="BP83" i="10" s="1"/>
  <c r="S83" i="10"/>
  <c r="P83" i="10"/>
  <c r="N83" i="10"/>
  <c r="H83" i="10"/>
  <c r="BL82" i="10"/>
  <c r="BE82" i="10" s="1"/>
  <c r="BJ82" i="10"/>
  <c r="AP82" i="10"/>
  <c r="V82" i="10"/>
  <c r="X82" i="10" s="1"/>
  <c r="BP82" i="10" s="1"/>
  <c r="S82" i="10"/>
  <c r="P82" i="10"/>
  <c r="N82" i="10"/>
  <c r="H82" i="10"/>
  <c r="BL81" i="10"/>
  <c r="BE81" i="10" s="1"/>
  <c r="BJ81" i="10"/>
  <c r="AP81" i="10"/>
  <c r="V81" i="10"/>
  <c r="X81" i="10" s="1"/>
  <c r="BP81" i="10" s="1"/>
  <c r="S81" i="10"/>
  <c r="P81" i="10"/>
  <c r="N81" i="10"/>
  <c r="H81" i="10"/>
  <c r="BL80" i="10"/>
  <c r="BE80" i="10" s="1"/>
  <c r="BJ80" i="10"/>
  <c r="AP80" i="10"/>
  <c r="V80" i="10"/>
  <c r="X80" i="10" s="1"/>
  <c r="BP80" i="10" s="1"/>
  <c r="S80" i="10"/>
  <c r="P80" i="10"/>
  <c r="N80" i="10"/>
  <c r="H80" i="10"/>
  <c r="BL79" i="10"/>
  <c r="BE79" i="10" s="1"/>
  <c r="BJ79" i="10"/>
  <c r="AP79" i="10"/>
  <c r="V79" i="10"/>
  <c r="X79" i="10" s="1"/>
  <c r="BP79" i="10" s="1"/>
  <c r="S79" i="10"/>
  <c r="P79" i="10"/>
  <c r="N79" i="10"/>
  <c r="H79" i="10"/>
  <c r="BL78" i="10"/>
  <c r="BI78" i="10" s="1"/>
  <c r="BJ78" i="10"/>
  <c r="AP78" i="10"/>
  <c r="V78" i="10"/>
  <c r="X78" i="10" s="1"/>
  <c r="BP78" i="10" s="1"/>
  <c r="S78" i="10"/>
  <c r="P78" i="10"/>
  <c r="N78" i="10"/>
  <c r="H78" i="10"/>
  <c r="BL77" i="10"/>
  <c r="BE77" i="10" s="1"/>
  <c r="BJ77" i="10"/>
  <c r="AP77" i="10"/>
  <c r="V77" i="10"/>
  <c r="X77" i="10" s="1"/>
  <c r="BP77" i="10" s="1"/>
  <c r="S77" i="10"/>
  <c r="P77" i="10"/>
  <c r="N77" i="10"/>
  <c r="H77" i="10"/>
  <c r="BL76" i="10"/>
  <c r="BI76" i="10" s="1"/>
  <c r="BJ76" i="10"/>
  <c r="AP76" i="10"/>
  <c r="V76" i="10"/>
  <c r="X76" i="10" s="1"/>
  <c r="BP76" i="10" s="1"/>
  <c r="S76" i="10"/>
  <c r="P76" i="10"/>
  <c r="N76" i="10"/>
  <c r="H76" i="10"/>
  <c r="BL75" i="10"/>
  <c r="BE75" i="10" s="1"/>
  <c r="BJ75" i="10"/>
  <c r="AP75" i="10"/>
  <c r="V75" i="10"/>
  <c r="X75" i="10" s="1"/>
  <c r="BP75" i="10" s="1"/>
  <c r="S75" i="10"/>
  <c r="P75" i="10"/>
  <c r="N75" i="10"/>
  <c r="H75" i="10"/>
  <c r="BL74" i="10"/>
  <c r="BE74" i="10" s="1"/>
  <c r="BJ74" i="10"/>
  <c r="AP74" i="10"/>
  <c r="V74" i="10"/>
  <c r="X74" i="10" s="1"/>
  <c r="BP74" i="10" s="1"/>
  <c r="S74" i="10"/>
  <c r="P74" i="10"/>
  <c r="N74" i="10"/>
  <c r="H74" i="10"/>
  <c r="BL73" i="10"/>
  <c r="BE73" i="10" s="1"/>
  <c r="BJ73" i="10"/>
  <c r="AP73" i="10"/>
  <c r="V73" i="10"/>
  <c r="X73" i="10" s="1"/>
  <c r="BP73" i="10" s="1"/>
  <c r="S73" i="10"/>
  <c r="P73" i="10"/>
  <c r="N73" i="10"/>
  <c r="H73" i="10"/>
  <c r="BL72" i="10"/>
  <c r="BE72" i="10" s="1"/>
  <c r="BJ72" i="10"/>
  <c r="AP72" i="10"/>
  <c r="V72" i="10"/>
  <c r="X72" i="10" s="1"/>
  <c r="BP72" i="10" s="1"/>
  <c r="S72" i="10"/>
  <c r="P72" i="10"/>
  <c r="N72" i="10"/>
  <c r="H72" i="10"/>
  <c r="BL71" i="10"/>
  <c r="BE71" i="10" s="1"/>
  <c r="BJ71" i="10"/>
  <c r="AP71" i="10"/>
  <c r="V71" i="10"/>
  <c r="X71" i="10" s="1"/>
  <c r="BP71" i="10" s="1"/>
  <c r="S71" i="10"/>
  <c r="P71" i="10"/>
  <c r="N71" i="10"/>
  <c r="H71" i="10"/>
  <c r="BL70" i="10"/>
  <c r="BI70" i="10" s="1"/>
  <c r="BJ70" i="10"/>
  <c r="AP70" i="10"/>
  <c r="V70" i="10"/>
  <c r="X70" i="10" s="1"/>
  <c r="BP70" i="10" s="1"/>
  <c r="S70" i="10"/>
  <c r="P70" i="10"/>
  <c r="N70" i="10"/>
  <c r="H70" i="10"/>
  <c r="BL69" i="10"/>
  <c r="BE69" i="10" s="1"/>
  <c r="BJ69" i="10"/>
  <c r="AP69" i="10"/>
  <c r="V69" i="10"/>
  <c r="X69" i="10" s="1"/>
  <c r="BP69" i="10" s="1"/>
  <c r="S69" i="10"/>
  <c r="P69" i="10"/>
  <c r="N69" i="10"/>
  <c r="H69" i="10"/>
  <c r="BL68" i="10"/>
  <c r="BI68" i="10" s="1"/>
  <c r="BJ68" i="10"/>
  <c r="AP68" i="10"/>
  <c r="V68" i="10"/>
  <c r="X68" i="10" s="1"/>
  <c r="BP68" i="10" s="1"/>
  <c r="S68" i="10"/>
  <c r="P68" i="10"/>
  <c r="N68" i="10"/>
  <c r="H68" i="10"/>
  <c r="BL67" i="10"/>
  <c r="BE67" i="10" s="1"/>
  <c r="BJ67" i="10"/>
  <c r="AP67" i="10"/>
  <c r="V67" i="10"/>
  <c r="X67" i="10" s="1"/>
  <c r="BP67" i="10" s="1"/>
  <c r="S67" i="10"/>
  <c r="P67" i="10"/>
  <c r="N67" i="10"/>
  <c r="H67" i="10"/>
  <c r="BL66" i="10"/>
  <c r="BE66" i="10" s="1"/>
  <c r="BJ66" i="10"/>
  <c r="AP66" i="10"/>
  <c r="V66" i="10"/>
  <c r="X66" i="10" s="1"/>
  <c r="BP66" i="10" s="1"/>
  <c r="S66" i="10"/>
  <c r="P66" i="10"/>
  <c r="N66" i="10"/>
  <c r="H66" i="10"/>
  <c r="BL65" i="10"/>
  <c r="BE65" i="10" s="1"/>
  <c r="BJ65" i="10"/>
  <c r="AP65" i="10"/>
  <c r="V65" i="10"/>
  <c r="X65" i="10" s="1"/>
  <c r="BP65" i="10" s="1"/>
  <c r="S65" i="10"/>
  <c r="P65" i="10"/>
  <c r="N65" i="10"/>
  <c r="H65" i="10"/>
  <c r="BL64" i="10"/>
  <c r="BE64" i="10" s="1"/>
  <c r="BJ64" i="10"/>
  <c r="AP64" i="10"/>
  <c r="V64" i="10"/>
  <c r="X64" i="10" s="1"/>
  <c r="BP64" i="10" s="1"/>
  <c r="S64" i="10"/>
  <c r="P64" i="10"/>
  <c r="N64" i="10"/>
  <c r="H64" i="10"/>
  <c r="BL63" i="10"/>
  <c r="BE63" i="10" s="1"/>
  <c r="BJ63" i="10"/>
  <c r="AP63" i="10"/>
  <c r="V63" i="10"/>
  <c r="X63" i="10" s="1"/>
  <c r="BP63" i="10" s="1"/>
  <c r="S63" i="10"/>
  <c r="P63" i="10"/>
  <c r="N63" i="10"/>
  <c r="H63" i="10"/>
  <c r="BL62" i="10"/>
  <c r="BE62" i="10" s="1"/>
  <c r="BJ62" i="10"/>
  <c r="AP62" i="10"/>
  <c r="V62" i="10"/>
  <c r="X62" i="10" s="1"/>
  <c r="BP62" i="10" s="1"/>
  <c r="S62" i="10"/>
  <c r="P62" i="10"/>
  <c r="N62" i="10"/>
  <c r="H62" i="10"/>
  <c r="BL61" i="10"/>
  <c r="BE61" i="10" s="1"/>
  <c r="BJ61" i="10"/>
  <c r="AP61" i="10"/>
  <c r="V61" i="10"/>
  <c r="X61" i="10" s="1"/>
  <c r="BP61" i="10" s="1"/>
  <c r="S61" i="10"/>
  <c r="P61" i="10"/>
  <c r="N61" i="10"/>
  <c r="H61" i="10"/>
  <c r="BL60" i="10"/>
  <c r="BE60" i="10" s="1"/>
  <c r="BJ60" i="10"/>
  <c r="AP60" i="10"/>
  <c r="V60" i="10"/>
  <c r="X60" i="10" s="1"/>
  <c r="BP60" i="10" s="1"/>
  <c r="S60" i="10"/>
  <c r="P60" i="10"/>
  <c r="N60" i="10"/>
  <c r="H60" i="10"/>
  <c r="BL59" i="10"/>
  <c r="BE59" i="10" s="1"/>
  <c r="BJ59" i="10"/>
  <c r="AP59" i="10"/>
  <c r="V59" i="10"/>
  <c r="X59" i="10" s="1"/>
  <c r="BP59" i="10" s="1"/>
  <c r="S59" i="10"/>
  <c r="P59" i="10"/>
  <c r="N59" i="10"/>
  <c r="H59" i="10"/>
  <c r="BL58" i="10"/>
  <c r="BE58" i="10" s="1"/>
  <c r="BJ58" i="10"/>
  <c r="AP58" i="10"/>
  <c r="V58" i="10"/>
  <c r="X58" i="10" s="1"/>
  <c r="BP58" i="10" s="1"/>
  <c r="S58" i="10"/>
  <c r="P58" i="10"/>
  <c r="N58" i="10"/>
  <c r="H58" i="10"/>
  <c r="BL57" i="10"/>
  <c r="BE57" i="10" s="1"/>
  <c r="BJ57" i="10"/>
  <c r="AP57" i="10"/>
  <c r="V57" i="10"/>
  <c r="X57" i="10" s="1"/>
  <c r="BP57" i="10" s="1"/>
  <c r="S57" i="10"/>
  <c r="P57" i="10"/>
  <c r="N57" i="10"/>
  <c r="H57" i="10"/>
  <c r="BL56" i="10"/>
  <c r="BE56" i="10" s="1"/>
  <c r="BJ56" i="10"/>
  <c r="AP56" i="10"/>
  <c r="V56" i="10"/>
  <c r="X56" i="10" s="1"/>
  <c r="BP56" i="10" s="1"/>
  <c r="S56" i="10"/>
  <c r="P56" i="10"/>
  <c r="N56" i="10"/>
  <c r="H56" i="10"/>
  <c r="BL55" i="10"/>
  <c r="BE55" i="10" s="1"/>
  <c r="BJ55" i="10"/>
  <c r="AP55" i="10"/>
  <c r="V55" i="10"/>
  <c r="X55" i="10" s="1"/>
  <c r="BP55" i="10" s="1"/>
  <c r="S55" i="10"/>
  <c r="BO55" i="10" s="1"/>
  <c r="P55" i="10"/>
  <c r="N55" i="10"/>
  <c r="H55" i="10"/>
  <c r="BL54" i="10"/>
  <c r="BE54" i="10" s="1"/>
  <c r="BJ54" i="10"/>
  <c r="AP54" i="10"/>
  <c r="V54" i="10"/>
  <c r="X54" i="10" s="1"/>
  <c r="BP54" i="10" s="1"/>
  <c r="S54" i="10"/>
  <c r="BO54" i="10" s="1"/>
  <c r="P54" i="10"/>
  <c r="N54" i="10"/>
  <c r="H54" i="10"/>
  <c r="BL53" i="10"/>
  <c r="BE53" i="10" s="1"/>
  <c r="BJ53" i="10"/>
  <c r="AP53" i="10"/>
  <c r="V53" i="10"/>
  <c r="X53" i="10" s="1"/>
  <c r="BP53" i="10" s="1"/>
  <c r="S53" i="10"/>
  <c r="BO53" i="10" s="1"/>
  <c r="P53" i="10"/>
  <c r="N53" i="10"/>
  <c r="H53" i="10"/>
  <c r="BL52" i="10"/>
  <c r="BE52" i="10" s="1"/>
  <c r="BJ52" i="10"/>
  <c r="AP52" i="10"/>
  <c r="V52" i="10"/>
  <c r="X52" i="10" s="1"/>
  <c r="BP52" i="10" s="1"/>
  <c r="S52" i="10"/>
  <c r="BO52" i="10" s="1"/>
  <c r="P52" i="10"/>
  <c r="N52" i="10"/>
  <c r="H52" i="10"/>
  <c r="BL51" i="10"/>
  <c r="BE51" i="10" s="1"/>
  <c r="BJ51" i="10"/>
  <c r="AP51" i="10"/>
  <c r="V51" i="10"/>
  <c r="X51" i="10" s="1"/>
  <c r="BP51" i="10" s="1"/>
  <c r="S51" i="10"/>
  <c r="BO51" i="10" s="1"/>
  <c r="P51" i="10"/>
  <c r="N51" i="10"/>
  <c r="H51" i="10"/>
  <c r="BL50" i="10"/>
  <c r="BE50" i="10" s="1"/>
  <c r="BJ50" i="10"/>
  <c r="AP50" i="10"/>
  <c r="V50" i="10"/>
  <c r="X50" i="10" s="1"/>
  <c r="BP50" i="10" s="1"/>
  <c r="S50" i="10"/>
  <c r="BO50" i="10" s="1"/>
  <c r="P50" i="10"/>
  <c r="N50" i="10"/>
  <c r="H50" i="10"/>
  <c r="BL49" i="10"/>
  <c r="BE49" i="10" s="1"/>
  <c r="BJ49" i="10"/>
  <c r="AP49" i="10"/>
  <c r="V49" i="10"/>
  <c r="X49" i="10" s="1"/>
  <c r="BP49" i="10" s="1"/>
  <c r="S49" i="10"/>
  <c r="BO49" i="10" s="1"/>
  <c r="P49" i="10"/>
  <c r="N49" i="10"/>
  <c r="H49" i="10"/>
  <c r="BL48" i="10"/>
  <c r="BI48" i="10" s="1"/>
  <c r="BJ48" i="10"/>
  <c r="AP48" i="10"/>
  <c r="V48" i="10"/>
  <c r="X48" i="10" s="1"/>
  <c r="BP48" i="10" s="1"/>
  <c r="S48" i="10"/>
  <c r="BO48" i="10" s="1"/>
  <c r="P48" i="10"/>
  <c r="N48" i="10"/>
  <c r="H48" i="10"/>
  <c r="BL47" i="10"/>
  <c r="BI47" i="10" s="1"/>
  <c r="BJ47" i="10"/>
  <c r="AP47" i="10"/>
  <c r="V47" i="10"/>
  <c r="X47" i="10" s="1"/>
  <c r="BP47" i="10" s="1"/>
  <c r="S47" i="10"/>
  <c r="BO47" i="10" s="1"/>
  <c r="P47" i="10"/>
  <c r="N47" i="10"/>
  <c r="H47" i="10"/>
  <c r="BL46" i="10"/>
  <c r="BI46" i="10" s="1"/>
  <c r="BJ46" i="10"/>
  <c r="AP46" i="10"/>
  <c r="V46" i="10"/>
  <c r="X46" i="10" s="1"/>
  <c r="BP46" i="10" s="1"/>
  <c r="S46" i="10"/>
  <c r="BO46" i="10" s="1"/>
  <c r="P46" i="10"/>
  <c r="N46" i="10"/>
  <c r="H46" i="10"/>
  <c r="BL45" i="10"/>
  <c r="BI45" i="10" s="1"/>
  <c r="BJ45" i="10"/>
  <c r="AP45" i="10"/>
  <c r="V45" i="10"/>
  <c r="X45" i="10" s="1"/>
  <c r="BP45" i="10" s="1"/>
  <c r="S45" i="10"/>
  <c r="BO45" i="10" s="1"/>
  <c r="P45" i="10"/>
  <c r="N45" i="10"/>
  <c r="H45" i="10"/>
  <c r="BL44" i="10"/>
  <c r="BI44" i="10" s="1"/>
  <c r="BJ44" i="10"/>
  <c r="AP44" i="10"/>
  <c r="V44" i="10"/>
  <c r="X44" i="10" s="1"/>
  <c r="BP44" i="10" s="1"/>
  <c r="S44" i="10"/>
  <c r="BO44" i="10" s="1"/>
  <c r="P44" i="10"/>
  <c r="N44" i="10"/>
  <c r="H44" i="10"/>
  <c r="BL43" i="10"/>
  <c r="BI43" i="10" s="1"/>
  <c r="BJ43" i="10"/>
  <c r="AP43" i="10"/>
  <c r="V43" i="10"/>
  <c r="X43" i="10" s="1"/>
  <c r="BP43" i="10" s="1"/>
  <c r="S43" i="10"/>
  <c r="BO43" i="10" s="1"/>
  <c r="P43" i="10"/>
  <c r="N43" i="10"/>
  <c r="H43" i="10"/>
  <c r="BL42" i="10"/>
  <c r="BI42" i="10" s="1"/>
  <c r="BJ42" i="10"/>
  <c r="AP42" i="10"/>
  <c r="V42" i="10"/>
  <c r="X42" i="10" s="1"/>
  <c r="BP42" i="10" s="1"/>
  <c r="S42" i="10"/>
  <c r="BO42" i="10" s="1"/>
  <c r="P42" i="10"/>
  <c r="N42" i="10"/>
  <c r="H42" i="10"/>
  <c r="BL41" i="10"/>
  <c r="BI41" i="10" s="1"/>
  <c r="BJ41" i="10"/>
  <c r="AP41" i="10"/>
  <c r="V41" i="10"/>
  <c r="X41" i="10" s="1"/>
  <c r="BP41" i="10" s="1"/>
  <c r="S41" i="10"/>
  <c r="BO41" i="10" s="1"/>
  <c r="P41" i="10"/>
  <c r="N41" i="10"/>
  <c r="H41" i="10"/>
  <c r="BI61" i="10" l="1"/>
  <c r="BI100" i="10"/>
  <c r="BI89" i="10"/>
  <c r="BI83" i="10"/>
  <c r="BI75" i="10"/>
  <c r="BI69" i="10"/>
  <c r="BI77" i="10"/>
  <c r="BI93" i="10"/>
  <c r="BI57" i="10"/>
  <c r="BI106" i="10"/>
  <c r="AR61" i="10"/>
  <c r="AS61" i="10"/>
  <c r="AR83" i="10"/>
  <c r="AS83" i="10"/>
  <c r="AR41" i="10"/>
  <c r="AS41" i="10"/>
  <c r="AR57" i="10"/>
  <c r="AS57" i="10"/>
  <c r="AR71" i="10"/>
  <c r="AS71" i="10"/>
  <c r="AR85" i="10"/>
  <c r="AS85" i="10"/>
  <c r="AR99" i="10"/>
  <c r="AS99" i="10"/>
  <c r="BI102" i="10"/>
  <c r="BI111" i="10"/>
  <c r="AR42" i="10"/>
  <c r="AS42" i="10"/>
  <c r="AR50" i="10"/>
  <c r="AS50" i="10"/>
  <c r="AR47" i="10"/>
  <c r="AS47" i="10"/>
  <c r="AR58" i="10"/>
  <c r="AS58" i="10"/>
  <c r="AR69" i="10"/>
  <c r="AS69" i="10"/>
  <c r="AR44" i="10"/>
  <c r="AS44" i="10"/>
  <c r="AR80" i="10"/>
  <c r="AS80" i="10"/>
  <c r="AR60" i="10"/>
  <c r="AS60" i="10"/>
  <c r="AR68" i="10"/>
  <c r="AS68" i="10"/>
  <c r="AR82" i="10"/>
  <c r="AS82" i="10"/>
  <c r="AR93" i="10"/>
  <c r="AS93" i="10"/>
  <c r="AR96" i="10"/>
  <c r="AS96" i="10"/>
  <c r="AR100" i="10"/>
  <c r="AS100" i="10"/>
  <c r="AR94" i="10"/>
  <c r="AS94" i="10"/>
  <c r="AR49" i="10"/>
  <c r="AS49" i="10"/>
  <c r="AR54" i="10"/>
  <c r="AS54" i="10"/>
  <c r="AR65" i="10"/>
  <c r="AS65" i="10"/>
  <c r="AR103" i="10"/>
  <c r="AS103" i="10"/>
  <c r="AR43" i="10"/>
  <c r="AS43" i="10"/>
  <c r="AR51" i="10"/>
  <c r="AS51" i="10"/>
  <c r="BI65" i="10"/>
  <c r="AR79" i="10"/>
  <c r="AS79" i="10"/>
  <c r="AR90" i="10"/>
  <c r="AS90" i="10"/>
  <c r="AR52" i="10"/>
  <c r="AS52" i="10"/>
  <c r="AR62" i="10"/>
  <c r="AS62" i="10"/>
  <c r="AR73" i="10"/>
  <c r="AS73" i="10"/>
  <c r="AR76" i="10"/>
  <c r="AS76" i="10"/>
  <c r="AR87" i="10"/>
  <c r="AS87" i="10"/>
  <c r="AR104" i="10"/>
  <c r="AS104" i="10"/>
  <c r="AR107" i="10"/>
  <c r="AS107" i="10"/>
  <c r="AR110" i="10"/>
  <c r="AS110" i="10"/>
  <c r="AR78" i="10"/>
  <c r="AS78" i="10"/>
  <c r="AR74" i="10"/>
  <c r="AS74" i="10"/>
  <c r="AR46" i="10"/>
  <c r="AS46" i="10"/>
  <c r="AR48" i="10"/>
  <c r="AS48" i="10"/>
  <c r="AR59" i="10"/>
  <c r="AS59" i="10"/>
  <c r="BI73" i="10"/>
  <c r="AR98" i="10"/>
  <c r="AS98" i="10"/>
  <c r="AR101" i="10"/>
  <c r="AS101" i="10"/>
  <c r="BI110" i="10"/>
  <c r="AR75" i="10"/>
  <c r="AS75" i="10"/>
  <c r="AR66" i="10"/>
  <c r="AS66" i="10"/>
  <c r="AR91" i="10"/>
  <c r="AS91" i="10"/>
  <c r="AR56" i="10"/>
  <c r="AS56" i="10"/>
  <c r="AR70" i="10"/>
  <c r="AS70" i="10"/>
  <c r="AR84" i="10"/>
  <c r="AS84" i="10"/>
  <c r="AR95" i="10"/>
  <c r="AS95" i="10"/>
  <c r="BI98" i="10"/>
  <c r="AR53" i="10"/>
  <c r="AS53" i="10"/>
  <c r="AR67" i="10"/>
  <c r="AS67" i="10"/>
  <c r="AR92" i="10"/>
  <c r="AS92" i="10"/>
  <c r="AR45" i="10"/>
  <c r="AS45" i="10"/>
  <c r="AR81" i="10"/>
  <c r="AS81" i="10"/>
  <c r="BI95" i="10"/>
  <c r="BI53" i="10"/>
  <c r="AR64" i="10"/>
  <c r="AS64" i="10"/>
  <c r="AR89" i="10"/>
  <c r="AS89" i="10"/>
  <c r="AR106" i="10"/>
  <c r="AS106" i="10"/>
  <c r="AR109" i="10"/>
  <c r="AS109" i="10"/>
  <c r="AR112" i="10"/>
  <c r="AS112" i="10"/>
  <c r="AR97" i="10"/>
  <c r="AS97" i="10"/>
  <c r="AR86" i="10"/>
  <c r="AS86" i="10"/>
  <c r="AR55" i="10"/>
  <c r="AS55" i="10"/>
  <c r="AR72" i="10"/>
  <c r="AS72" i="10"/>
  <c r="AR63" i="10"/>
  <c r="AS63" i="10"/>
  <c r="AR77" i="10"/>
  <c r="AS77" i="10"/>
  <c r="AR88" i="10"/>
  <c r="AS88" i="10"/>
  <c r="AR102" i="10"/>
  <c r="AS102" i="10"/>
  <c r="AR105" i="10"/>
  <c r="AS105" i="10"/>
  <c r="AR108" i="10"/>
  <c r="AS108" i="10"/>
  <c r="AR111" i="10"/>
  <c r="AS111" i="10"/>
  <c r="BI67" i="10"/>
  <c r="BI79" i="10"/>
  <c r="BI91" i="10"/>
  <c r="BI97" i="10"/>
  <c r="BI99" i="10"/>
  <c r="BI101" i="10"/>
  <c r="BI49" i="10"/>
  <c r="BI55" i="10"/>
  <c r="BI59" i="10"/>
  <c r="BI63" i="10"/>
  <c r="BI71" i="10"/>
  <c r="BI103" i="10"/>
  <c r="BI109" i="10"/>
  <c r="BI51" i="10"/>
  <c r="BI81" i="10"/>
  <c r="BI85" i="10"/>
  <c r="BI87" i="10"/>
  <c r="BI96" i="10"/>
  <c r="BI52" i="10"/>
  <c r="BI58" i="10"/>
  <c r="BI62" i="10"/>
  <c r="BI66" i="10"/>
  <c r="BI72" i="10"/>
  <c r="BI82" i="10"/>
  <c r="BI88" i="10"/>
  <c r="BI50" i="10"/>
  <c r="BI54" i="10"/>
  <c r="BI56" i="10"/>
  <c r="BI60" i="10"/>
  <c r="BI64" i="10"/>
  <c r="BI74" i="10"/>
  <c r="BI80" i="10"/>
  <c r="BI90" i="10"/>
  <c r="Z109" i="10"/>
  <c r="Z111" i="10"/>
  <c r="Z88" i="10"/>
  <c r="Z90" i="10"/>
  <c r="Z45" i="10"/>
  <c r="Z41" i="10"/>
  <c r="Z43" i="10"/>
  <c r="Z47" i="10"/>
  <c r="Z80" i="10"/>
  <c r="Z98" i="10"/>
  <c r="Z100" i="10"/>
  <c r="Z49" i="10"/>
  <c r="Z51" i="10"/>
  <c r="Z53" i="10"/>
  <c r="Z55" i="10"/>
  <c r="Z61" i="10"/>
  <c r="Z63" i="10"/>
  <c r="Z65" i="10"/>
  <c r="Z67" i="10"/>
  <c r="Z72" i="10"/>
  <c r="Z74" i="10"/>
  <c r="Z82" i="10"/>
  <c r="Z96" i="10"/>
  <c r="Z103" i="10"/>
  <c r="BE68" i="10"/>
  <c r="Z68" i="10"/>
  <c r="BE78" i="10"/>
  <c r="Z78" i="10"/>
  <c r="BE84" i="10"/>
  <c r="Z84" i="10"/>
  <c r="BE94" i="10"/>
  <c r="Z94" i="10"/>
  <c r="BE105" i="10"/>
  <c r="Z105" i="10"/>
  <c r="Z42" i="10"/>
  <c r="Z44" i="10"/>
  <c r="Z46" i="10"/>
  <c r="Z48" i="10"/>
  <c r="Z50" i="10"/>
  <c r="Z52" i="10"/>
  <c r="Z54" i="10"/>
  <c r="Z57" i="10"/>
  <c r="Z59" i="10"/>
  <c r="Z60" i="10"/>
  <c r="BE70" i="10"/>
  <c r="Z70" i="10"/>
  <c r="BE76" i="10"/>
  <c r="Z76" i="10"/>
  <c r="BE86" i="10"/>
  <c r="Z86" i="10"/>
  <c r="BE92" i="10"/>
  <c r="Z92" i="10"/>
  <c r="BE107" i="10"/>
  <c r="Z107" i="10"/>
  <c r="BE41" i="10"/>
  <c r="BE43" i="10"/>
  <c r="BE44" i="10"/>
  <c r="BE45" i="10"/>
  <c r="U41" i="10"/>
  <c r="U42" i="10"/>
  <c r="U43" i="10"/>
  <c r="U44" i="10"/>
  <c r="U45" i="10"/>
  <c r="U46" i="10"/>
  <c r="U47" i="10"/>
  <c r="U48" i="10"/>
  <c r="U49" i="10"/>
  <c r="U50" i="10"/>
  <c r="U51" i="10"/>
  <c r="U52" i="10"/>
  <c r="U53" i="10"/>
  <c r="U54" i="10"/>
  <c r="U55" i="10"/>
  <c r="BO56" i="10"/>
  <c r="U56" i="10"/>
  <c r="Z56" i="10"/>
  <c r="BO58" i="10"/>
  <c r="U58" i="10"/>
  <c r="Z58" i="10"/>
  <c r="BO60" i="10"/>
  <c r="U60" i="10"/>
  <c r="BE42" i="10"/>
  <c r="BE46" i="10"/>
  <c r="BE47" i="10"/>
  <c r="BE48" i="10"/>
  <c r="BO57" i="10"/>
  <c r="U57" i="10"/>
  <c r="BO59" i="10"/>
  <c r="U59" i="10"/>
  <c r="BO62" i="10"/>
  <c r="U62" i="10"/>
  <c r="Z62" i="10"/>
  <c r="BO64" i="10"/>
  <c r="U64" i="10"/>
  <c r="Z64" i="10"/>
  <c r="BO66" i="10"/>
  <c r="U66" i="10"/>
  <c r="Z66" i="10"/>
  <c r="BO68" i="10"/>
  <c r="U68" i="10"/>
  <c r="Z69" i="10"/>
  <c r="BO72" i="10"/>
  <c r="U72" i="10"/>
  <c r="Z73" i="10"/>
  <c r="BO76" i="10"/>
  <c r="U76" i="10"/>
  <c r="Z77" i="10"/>
  <c r="BO80" i="10"/>
  <c r="U80" i="10"/>
  <c r="Z81" i="10"/>
  <c r="BO84" i="10"/>
  <c r="U84" i="10"/>
  <c r="Z85" i="10"/>
  <c r="BO88" i="10"/>
  <c r="U88" i="10"/>
  <c r="Z89" i="10"/>
  <c r="BO92" i="10"/>
  <c r="U92" i="10"/>
  <c r="Z93" i="10"/>
  <c r="BO61" i="10"/>
  <c r="U61" i="10"/>
  <c r="BO63" i="10"/>
  <c r="U63" i="10"/>
  <c r="BO65" i="10"/>
  <c r="U65" i="10"/>
  <c r="BO67" i="10"/>
  <c r="U67" i="10"/>
  <c r="BO70" i="10"/>
  <c r="U70" i="10"/>
  <c r="Z71" i="10"/>
  <c r="BO74" i="10"/>
  <c r="U74" i="10"/>
  <c r="Z75" i="10"/>
  <c r="BO78" i="10"/>
  <c r="U78" i="10"/>
  <c r="Z79" i="10"/>
  <c r="BO82" i="10"/>
  <c r="U82" i="10"/>
  <c r="Z83" i="10"/>
  <c r="BO86" i="10"/>
  <c r="U86" i="10"/>
  <c r="Z87" i="10"/>
  <c r="BO90" i="10"/>
  <c r="U90" i="10"/>
  <c r="Z91" i="10"/>
  <c r="BO94" i="10"/>
  <c r="U94" i="10"/>
  <c r="Z95" i="10"/>
  <c r="BO96" i="10"/>
  <c r="U96" i="10"/>
  <c r="BO98" i="10"/>
  <c r="U98" i="10"/>
  <c r="BO100" i="10"/>
  <c r="U100" i="10"/>
  <c r="BO103" i="10"/>
  <c r="U103" i="10"/>
  <c r="Z104" i="10"/>
  <c r="BO107" i="10"/>
  <c r="U107" i="10"/>
  <c r="Z108" i="10"/>
  <c r="BO111" i="10"/>
  <c r="U111" i="10"/>
  <c r="Z112" i="10"/>
  <c r="BO69" i="10"/>
  <c r="U69" i="10"/>
  <c r="BO71" i="10"/>
  <c r="U71" i="10"/>
  <c r="BO73" i="10"/>
  <c r="U73" i="10"/>
  <c r="BO75" i="10"/>
  <c r="U75" i="10"/>
  <c r="BO77" i="10"/>
  <c r="U77" i="10"/>
  <c r="BO79" i="10"/>
  <c r="U79" i="10"/>
  <c r="BO81" i="10"/>
  <c r="U81" i="10"/>
  <c r="BO83" i="10"/>
  <c r="U83" i="10"/>
  <c r="BO85" i="10"/>
  <c r="U85" i="10"/>
  <c r="BO87" i="10"/>
  <c r="U87" i="10"/>
  <c r="BO89" i="10"/>
  <c r="U89" i="10"/>
  <c r="BO91" i="10"/>
  <c r="U91" i="10"/>
  <c r="BO93" i="10"/>
  <c r="U93" i="10"/>
  <c r="BO95" i="10"/>
  <c r="U95" i="10"/>
  <c r="BO97" i="10"/>
  <c r="U97" i="10"/>
  <c r="Z97" i="10"/>
  <c r="BO99" i="10"/>
  <c r="U99" i="10"/>
  <c r="Z99" i="10"/>
  <c r="BO101" i="10"/>
  <c r="U101" i="10"/>
  <c r="Z101" i="10"/>
  <c r="Z102" i="10"/>
  <c r="BE104" i="10"/>
  <c r="BO105" i="10"/>
  <c r="U105" i="10"/>
  <c r="Z106" i="10"/>
  <c r="BE108" i="10"/>
  <c r="BO109" i="10"/>
  <c r="U109" i="10"/>
  <c r="Z110" i="10"/>
  <c r="BE112" i="10"/>
  <c r="BO102" i="10"/>
  <c r="U102" i="10"/>
  <c r="BO104" i="10"/>
  <c r="U104" i="10"/>
  <c r="BO106" i="10"/>
  <c r="U106" i="10"/>
  <c r="BO108" i="10"/>
  <c r="U108" i="10"/>
  <c r="BO110" i="10"/>
  <c r="U110" i="10"/>
  <c r="BO112" i="10"/>
  <c r="U112" i="10"/>
  <c r="C90" i="10" l="1" a="1"/>
  <c r="C90" i="10" s="1"/>
  <c r="BH90" i="10" s="1"/>
  <c r="C74" i="10" a="1"/>
  <c r="C74" i="10" s="1"/>
  <c r="BD74" i="10" s="1"/>
  <c r="C43" i="10" a="1"/>
  <c r="C43" i="10" s="1"/>
  <c r="BC43" i="10" s="1"/>
  <c r="C111" i="10" a="1"/>
  <c r="C111" i="10" s="1"/>
  <c r="BH111" i="10" s="1"/>
  <c r="C108" i="10" a="1"/>
  <c r="C108" i="10" s="1"/>
  <c r="BF108" i="10" s="1"/>
  <c r="C109" i="10" a="1"/>
  <c r="C109" i="10" s="1"/>
  <c r="BH109" i="10" s="1"/>
  <c r="C100" i="10" a="1"/>
  <c r="C100" i="10" s="1"/>
  <c r="BF100" i="10" s="1"/>
  <c r="C85" i="10" a="1"/>
  <c r="C85" i="10" s="1"/>
  <c r="BH85" i="10" s="1"/>
  <c r="C69" i="10" a="1"/>
  <c r="C69" i="10" s="1"/>
  <c r="BD69" i="10" s="1"/>
  <c r="C86" i="10" a="1"/>
  <c r="C86" i="10" s="1"/>
  <c r="BH86" i="10" s="1"/>
  <c r="C70" i="10" a="1"/>
  <c r="C70" i="10" s="1"/>
  <c r="BD70" i="10" s="1"/>
  <c r="C67" i="10" a="1"/>
  <c r="C67" i="10" s="1"/>
  <c r="AZ67" i="10" s="1"/>
  <c r="C65" i="10" a="1"/>
  <c r="C65" i="10" s="1"/>
  <c r="BG65" i="10" s="1"/>
  <c r="C63" i="10" a="1"/>
  <c r="C63" i="10" s="1"/>
  <c r="BH63" i="10" s="1"/>
  <c r="C61" i="10" a="1"/>
  <c r="C61" i="10" s="1"/>
  <c r="BD61" i="10" s="1"/>
  <c r="C80" i="10" a="1"/>
  <c r="C80" i="10" s="1"/>
  <c r="BH80" i="10" s="1"/>
  <c r="C53" i="10" a="1"/>
  <c r="C53" i="10" s="1"/>
  <c r="BH53" i="10" s="1"/>
  <c r="C51" i="10" a="1"/>
  <c r="C51" i="10" s="1"/>
  <c r="AY51" i="10" s="1"/>
  <c r="C49" i="10" a="1"/>
  <c r="C49" i="10" s="1"/>
  <c r="BA49" i="10" s="1"/>
  <c r="C47" i="10" a="1"/>
  <c r="C47" i="10" s="1"/>
  <c r="AY47" i="10" s="1"/>
  <c r="C45" i="10" a="1"/>
  <c r="C45" i="10" s="1"/>
  <c r="BG45" i="10" s="1"/>
  <c r="C41" i="10" a="1"/>
  <c r="C41" i="10" s="1"/>
  <c r="BB41" i="10" s="1"/>
  <c r="C105" i="10" a="1"/>
  <c r="C105" i="10" s="1"/>
  <c r="BH105" i="10" s="1"/>
  <c r="C103" i="10" a="1"/>
  <c r="C103" i="10" s="1"/>
  <c r="BH103" i="10" s="1"/>
  <c r="C98" i="10" a="1"/>
  <c r="C98" i="10" s="1"/>
  <c r="BF98" i="10" s="1"/>
  <c r="C96" i="10" a="1"/>
  <c r="C96" i="10" s="1"/>
  <c r="BH96" i="10" s="1"/>
  <c r="C82" i="10" a="1"/>
  <c r="C82" i="10" s="1"/>
  <c r="BF82" i="10" s="1"/>
  <c r="C92" i="10" a="1"/>
  <c r="C92" i="10" s="1"/>
  <c r="BH92" i="10" s="1"/>
  <c r="C76" i="10" a="1"/>
  <c r="C76" i="10" s="1"/>
  <c r="BF76" i="10" s="1"/>
  <c r="C54" i="10" a="1"/>
  <c r="C54" i="10" s="1"/>
  <c r="BG54" i="10" s="1"/>
  <c r="C50" i="10" a="1"/>
  <c r="C50" i="10" s="1"/>
  <c r="BC50" i="10" s="1"/>
  <c r="C46" i="10" a="1"/>
  <c r="C46" i="10" s="1"/>
  <c r="BG46" i="10" s="1"/>
  <c r="C101" i="10" a="1"/>
  <c r="C101" i="10" s="1"/>
  <c r="AY101" i="10" s="1"/>
  <c r="C97" i="10" a="1"/>
  <c r="C97" i="10" s="1"/>
  <c r="AZ97" i="10" s="1"/>
  <c r="C95" i="10" a="1"/>
  <c r="C95" i="10" s="1"/>
  <c r="AZ95" i="10" s="1"/>
  <c r="C93" i="10" a="1"/>
  <c r="C93" i="10" s="1"/>
  <c r="BH93" i="10" s="1"/>
  <c r="C91" i="10" a="1"/>
  <c r="C91" i="10" s="1"/>
  <c r="BH91" i="10" s="1"/>
  <c r="C89" i="10" a="1"/>
  <c r="C89" i="10" s="1"/>
  <c r="AZ89" i="10" s="1"/>
  <c r="C87" i="10" a="1"/>
  <c r="C87" i="10" s="1"/>
  <c r="AZ87" i="10" s="1"/>
  <c r="C83" i="10" a="1"/>
  <c r="C83" i="10" s="1"/>
  <c r="AZ83" i="10" s="1"/>
  <c r="C81" i="10" a="1"/>
  <c r="C81" i="10" s="1"/>
  <c r="AY81" i="10" s="1"/>
  <c r="C79" i="10" a="1"/>
  <c r="C79" i="10" s="1"/>
  <c r="BH79" i="10" s="1"/>
  <c r="C77" i="10" a="1"/>
  <c r="C77" i="10" s="1"/>
  <c r="AZ77" i="10" s="1"/>
  <c r="C75" i="10" a="1"/>
  <c r="C75" i="10" s="1"/>
  <c r="AZ75" i="10" s="1"/>
  <c r="C73" i="10" a="1"/>
  <c r="C73" i="10" s="1"/>
  <c r="BH73" i="10" s="1"/>
  <c r="C71" i="10" a="1"/>
  <c r="C71" i="10" s="1"/>
  <c r="BH71" i="10" s="1"/>
  <c r="C107" i="10" a="1"/>
  <c r="C107" i="10" s="1"/>
  <c r="AZ107" i="10" s="1"/>
  <c r="C94" i="10" a="1"/>
  <c r="C94" i="10" s="1"/>
  <c r="AZ94" i="10" s="1"/>
  <c r="C78" i="10" a="1"/>
  <c r="C78" i="10" s="1"/>
  <c r="BH78" i="10" s="1"/>
  <c r="C88" i="10" a="1"/>
  <c r="C88" i="10" s="1"/>
  <c r="AZ88" i="10" s="1"/>
  <c r="C72" i="10" a="1"/>
  <c r="C72" i="10" s="1"/>
  <c r="AZ72" i="10" s="1"/>
  <c r="C66" i="10" a="1"/>
  <c r="C66" i="10" s="1"/>
  <c r="BB66" i="10" s="1"/>
  <c r="C62" i="10" a="1"/>
  <c r="C62" i="10" s="1"/>
  <c r="BH62" i="10" s="1"/>
  <c r="C59" i="10" a="1"/>
  <c r="C59" i="10" s="1"/>
  <c r="BB59" i="10" s="1"/>
  <c r="C57" i="10" a="1"/>
  <c r="C57" i="10" s="1"/>
  <c r="AZ57" i="10" s="1"/>
  <c r="C60" i="10" a="1"/>
  <c r="C60" i="10" s="1"/>
  <c r="BD60" i="10" s="1"/>
  <c r="C56" i="10" a="1"/>
  <c r="C56" i="10" s="1"/>
  <c r="BG56" i="10" s="1"/>
  <c r="C55" i="10" a="1"/>
  <c r="C55" i="10" s="1"/>
  <c r="BA55" i="10" s="1"/>
  <c r="C112" i="10" a="1"/>
  <c r="C112" i="10" s="1"/>
  <c r="AZ112" i="10" s="1"/>
  <c r="C110" i="10" a="1"/>
  <c r="C110" i="10" s="1"/>
  <c r="BC110" i="10" s="1"/>
  <c r="C106" i="10" a="1"/>
  <c r="C106" i="10" s="1"/>
  <c r="BB106" i="10" s="1"/>
  <c r="C104" i="10" a="1"/>
  <c r="C104" i="10" s="1"/>
  <c r="BH104" i="10" s="1"/>
  <c r="C102" i="10" a="1"/>
  <c r="C102" i="10" s="1"/>
  <c r="BF102" i="10" s="1"/>
  <c r="C99" i="10" a="1"/>
  <c r="C99" i="10" s="1"/>
  <c r="BH99" i="10" s="1"/>
  <c r="C84" i="10" a="1"/>
  <c r="C84" i="10" s="1"/>
  <c r="BH84" i="10" s="1"/>
  <c r="C68" i="10" a="1"/>
  <c r="C68" i="10" s="1"/>
  <c r="BH68" i="10" s="1"/>
  <c r="C64" i="10" a="1"/>
  <c r="C64" i="10" s="1"/>
  <c r="BF64" i="10" s="1"/>
  <c r="C58" i="10" a="1"/>
  <c r="C58" i="10" s="1"/>
  <c r="BH58" i="10" s="1"/>
  <c r="C52" i="10" a="1"/>
  <c r="C52" i="10" s="1"/>
  <c r="BG52" i="10" s="1"/>
  <c r="C48" i="10" a="1"/>
  <c r="C48" i="10" s="1"/>
  <c r="BG48" i="10" s="1"/>
  <c r="C44" i="10" a="1"/>
  <c r="C44" i="10" s="1"/>
  <c r="BF44" i="10" s="1"/>
  <c r="C42" i="10" a="1"/>
  <c r="C42" i="10" s="1"/>
  <c r="BG42" i="10" s="1"/>
  <c r="BC90" i="10" l="1"/>
  <c r="BG90" i="10"/>
  <c r="AV90" i="10" a="1"/>
  <c r="AV90" i="10" s="1"/>
  <c r="AY90" i="10"/>
  <c r="BA90" i="10"/>
  <c r="AX90" i="10"/>
  <c r="AW90" i="10"/>
  <c r="BF90" i="10"/>
  <c r="AZ90" i="10"/>
  <c r="BB90" i="10"/>
  <c r="BD90" i="10"/>
  <c r="AV74" i="10" a="1"/>
  <c r="AV74" i="10" s="1"/>
  <c r="AV43" i="10" a="1"/>
  <c r="AV43" i="10" s="1"/>
  <c r="AZ43" i="10"/>
  <c r="BG43" i="10"/>
  <c r="AX43" i="10"/>
  <c r="BB43" i="10"/>
  <c r="AY43" i="10"/>
  <c r="AY74" i="10"/>
  <c r="BA43" i="10"/>
  <c r="AZ74" i="10"/>
  <c r="BF74" i="10"/>
  <c r="BA74" i="10"/>
  <c r="AX74" i="10"/>
  <c r="BH74" i="10"/>
  <c r="BC74" i="10"/>
  <c r="BB74" i="10"/>
  <c r="BG74" i="10"/>
  <c r="BH97" i="10"/>
  <c r="AW74" i="10"/>
  <c r="BD43" i="10"/>
  <c r="BF43" i="10"/>
  <c r="AY108" i="10"/>
  <c r="BH108" i="10"/>
  <c r="AW43" i="10"/>
  <c r="BG111" i="10"/>
  <c r="BH43" i="10"/>
  <c r="AX111" i="10"/>
  <c r="BF111" i="10"/>
  <c r="BH101" i="10"/>
  <c r="AZ108" i="10"/>
  <c r="AV111" i="10" a="1"/>
  <c r="AV111" i="10" s="1"/>
  <c r="AW111" i="10"/>
  <c r="BB111" i="10"/>
  <c r="BA108" i="10"/>
  <c r="BG108" i="10"/>
  <c r="BD108" i="10"/>
  <c r="BC111" i="10"/>
  <c r="AY111" i="10"/>
  <c r="BA111" i="10"/>
  <c r="AZ111" i="10"/>
  <c r="BD111" i="10"/>
  <c r="AV108" i="10" a="1"/>
  <c r="AV108" i="10" s="1"/>
  <c r="AW108" i="10"/>
  <c r="BC108" i="10"/>
  <c r="AX108" i="10"/>
  <c r="BB108" i="10"/>
  <c r="AW109" i="10"/>
  <c r="BH100" i="10"/>
  <c r="AY109" i="10"/>
  <c r="BB109" i="10"/>
  <c r="BC109" i="10"/>
  <c r="AX109" i="10"/>
  <c r="BF109" i="10"/>
  <c r="AV109" i="10" a="1"/>
  <c r="AV109" i="10" s="1"/>
  <c r="BG109" i="10"/>
  <c r="BA109" i="10"/>
  <c r="AZ109" i="10"/>
  <c r="BD109" i="10"/>
  <c r="BG100" i="10"/>
  <c r="AZ100" i="10"/>
  <c r="AY100" i="10"/>
  <c r="BA100" i="10"/>
  <c r="BD100" i="10"/>
  <c r="AW68" i="10"/>
  <c r="BB55" i="10"/>
  <c r="BB46" i="10"/>
  <c r="AX103" i="10"/>
  <c r="AY67" i="10"/>
  <c r="AV54" i="10" a="1"/>
  <c r="AV54" i="10" s="1"/>
  <c r="BC96" i="10"/>
  <c r="AX41" i="10"/>
  <c r="BF59" i="10"/>
  <c r="AZ79" i="10"/>
  <c r="BC46" i="10"/>
  <c r="AY42" i="10"/>
  <c r="AX92" i="10"/>
  <c r="BF96" i="10"/>
  <c r="BB99" i="10"/>
  <c r="BC47" i="10"/>
  <c r="AZ60" i="10"/>
  <c r="AZ80" i="10"/>
  <c r="BH94" i="10"/>
  <c r="AY89" i="10"/>
  <c r="AV46" i="10" a="1"/>
  <c r="AV46" i="10" s="1"/>
  <c r="BB54" i="10"/>
  <c r="BC54" i="10"/>
  <c r="AV58" i="10" a="1"/>
  <c r="AV58" i="10" s="1"/>
  <c r="BG92" i="10"/>
  <c r="BF92" i="10"/>
  <c r="AX96" i="10"/>
  <c r="BG103" i="10"/>
  <c r="BF103" i="10"/>
  <c r="BB47" i="10"/>
  <c r="AV51" i="10" a="1"/>
  <c r="AV51" i="10" s="1"/>
  <c r="BG55" i="10"/>
  <c r="AV59" i="10" a="1"/>
  <c r="AV59" i="10" s="1"/>
  <c r="AX66" i="10"/>
  <c r="BH88" i="10"/>
  <c r="AZ86" i="10"/>
  <c r="AY75" i="10"/>
  <c r="BH83" i="10"/>
  <c r="AZ93" i="10"/>
  <c r="AX46" i="10"/>
  <c r="BF46" i="10"/>
  <c r="AY46" i="10"/>
  <c r="AX54" i="10"/>
  <c r="BF54" i="10"/>
  <c r="AY54" i="10"/>
  <c r="AX42" i="10"/>
  <c r="BF48" i="10"/>
  <c r="BB58" i="10"/>
  <c r="AV92" i="10" a="1"/>
  <c r="AV92" i="10" s="1"/>
  <c r="AW92" i="10"/>
  <c r="BB92" i="10"/>
  <c r="AV96" i="10" a="1"/>
  <c r="AV96" i="10" s="1"/>
  <c r="AW96" i="10"/>
  <c r="BB96" i="10"/>
  <c r="AV103" i="10" a="1"/>
  <c r="AV103" i="10" s="1"/>
  <c r="AW103" i="10"/>
  <c r="BB103" i="10"/>
  <c r="AV99" i="10" a="1"/>
  <c r="AV99" i="10" s="1"/>
  <c r="BC104" i="10"/>
  <c r="AY41" i="10"/>
  <c r="BF41" i="10"/>
  <c r="AV47" i="10" a="1"/>
  <c r="AV47" i="10" s="1"/>
  <c r="BB51" i="10"/>
  <c r="BC51" i="10"/>
  <c r="AW55" i="10"/>
  <c r="BC60" i="10"/>
  <c r="BF60" i="10"/>
  <c r="AX59" i="10"/>
  <c r="BC66" i="10"/>
  <c r="BH66" i="10"/>
  <c r="AY88" i="10"/>
  <c r="AZ63" i="10"/>
  <c r="BH67" i="10"/>
  <c r="BG94" i="10"/>
  <c r="AZ71" i="10"/>
  <c r="BH75" i="10"/>
  <c r="AY83" i="10"/>
  <c r="AZ85" i="10"/>
  <c r="BH89" i="10"/>
  <c r="AY97" i="10"/>
  <c r="AZ46" i="10"/>
  <c r="BD46" i="10"/>
  <c r="BH46" i="10"/>
  <c r="AW46" i="10"/>
  <c r="BA46" i="10"/>
  <c r="AZ54" i="10"/>
  <c r="BD54" i="10"/>
  <c r="BH54" i="10"/>
  <c r="AW54" i="10"/>
  <c r="BA54" i="10"/>
  <c r="BF42" i="10"/>
  <c r="AX48" i="10"/>
  <c r="AY48" i="10"/>
  <c r="AW58" i="10"/>
  <c r="AV68" i="10" a="1"/>
  <c r="AV68" i="10" s="1"/>
  <c r="BB68" i="10"/>
  <c r="BC92" i="10"/>
  <c r="AY92" i="10"/>
  <c r="BA92" i="10"/>
  <c r="AZ92" i="10"/>
  <c r="BD92" i="10"/>
  <c r="AY96" i="10"/>
  <c r="BG96" i="10"/>
  <c r="BA96" i="10"/>
  <c r="AZ96" i="10"/>
  <c r="BD96" i="10"/>
  <c r="BC103" i="10"/>
  <c r="AY103" i="10"/>
  <c r="BA103" i="10"/>
  <c r="AZ103" i="10"/>
  <c r="BD103" i="10"/>
  <c r="BC99" i="10"/>
  <c r="AV104" i="10" a="1"/>
  <c r="AV104" i="10" s="1"/>
  <c r="BB104" i="10"/>
  <c r="AV41" i="10" a="1"/>
  <c r="AV41" i="10" s="1"/>
  <c r="BC41" i="10"/>
  <c r="AX47" i="10"/>
  <c r="BF47" i="10"/>
  <c r="AX51" i="10"/>
  <c r="BF51" i="10"/>
  <c r="AX55" i="10"/>
  <c r="BF55" i="10"/>
  <c r="AV60" i="10" a="1"/>
  <c r="AV60" i="10" s="1"/>
  <c r="BA60" i="10"/>
  <c r="AW59" i="10"/>
  <c r="BC59" i="10"/>
  <c r="AV66" i="10" a="1"/>
  <c r="AV66" i="10" s="1"/>
  <c r="AW66" i="10"/>
  <c r="AY80" i="10"/>
  <c r="AY63" i="10"/>
  <c r="BG86" i="10"/>
  <c r="AY71" i="10"/>
  <c r="AY79" i="10"/>
  <c r="AY85" i="10"/>
  <c r="AY93" i="10"/>
  <c r="AV100" i="10" a="1"/>
  <c r="AV100" i="10" s="1"/>
  <c r="BC100" i="10"/>
  <c r="AW100" i="10"/>
  <c r="AX100" i="10"/>
  <c r="BB100" i="10"/>
  <c r="BH110" i="10"/>
  <c r="BB110" i="10"/>
  <c r="AV110" i="10" a="1"/>
  <c r="AV110" i="10" s="1"/>
  <c r="BH55" i="10"/>
  <c r="BC55" i="10"/>
  <c r="AY55" i="10"/>
  <c r="AV55" i="10" a="1"/>
  <c r="AV55" i="10" s="1"/>
  <c r="BD55" i="10"/>
  <c r="AZ55" i="10"/>
  <c r="BH60" i="10"/>
  <c r="BG60" i="10"/>
  <c r="BB60" i="10"/>
  <c r="AX60" i="10"/>
  <c r="AW60" i="10"/>
  <c r="AY60" i="10"/>
  <c r="BH59" i="10"/>
  <c r="BD59" i="10"/>
  <c r="AZ59" i="10"/>
  <c r="BG59" i="10"/>
  <c r="AY59" i="10"/>
  <c r="BA59" i="10"/>
  <c r="BF66" i="10"/>
  <c r="BD66" i="10"/>
  <c r="AZ66" i="10"/>
  <c r="BA66" i="10"/>
  <c r="BG66" i="10"/>
  <c r="AY66" i="10"/>
  <c r="BD88" i="10"/>
  <c r="BA88" i="10"/>
  <c r="BC88" i="10"/>
  <c r="BD94" i="10"/>
  <c r="BA94" i="10"/>
  <c r="AV94" i="10" a="1"/>
  <c r="AV94" i="10" s="1"/>
  <c r="BD71" i="10"/>
  <c r="BG71" i="10"/>
  <c r="AW71" i="10"/>
  <c r="BD75" i="10"/>
  <c r="BG75" i="10"/>
  <c r="AW75" i="10"/>
  <c r="BD79" i="10"/>
  <c r="BG79" i="10"/>
  <c r="AW79" i="10"/>
  <c r="BD83" i="10"/>
  <c r="BG83" i="10"/>
  <c r="AW83" i="10"/>
  <c r="BD89" i="10"/>
  <c r="BG89" i="10"/>
  <c r="BA89" i="10"/>
  <c r="BD93" i="10"/>
  <c r="BG93" i="10"/>
  <c r="BA93" i="10"/>
  <c r="BD97" i="10"/>
  <c r="BG97" i="10"/>
  <c r="AW97" i="10"/>
  <c r="BH41" i="10"/>
  <c r="BD41" i="10"/>
  <c r="AZ41" i="10"/>
  <c r="BG41" i="10"/>
  <c r="BA41" i="10"/>
  <c r="AW41" i="10"/>
  <c r="BG47" i="10"/>
  <c r="BA47" i="10"/>
  <c r="AW47" i="10"/>
  <c r="BH47" i="10"/>
  <c r="BD47" i="10"/>
  <c r="AZ47" i="10"/>
  <c r="BG51" i="10"/>
  <c r="BA51" i="10"/>
  <c r="AW51" i="10"/>
  <c r="BH51" i="10"/>
  <c r="BD51" i="10"/>
  <c r="AZ51" i="10"/>
  <c r="BD80" i="10"/>
  <c r="BA80" i="10"/>
  <c r="BC80" i="10"/>
  <c r="BD63" i="10"/>
  <c r="BG63" i="10"/>
  <c r="BA63" i="10"/>
  <c r="BD67" i="10"/>
  <c r="BG67" i="10"/>
  <c r="BA67" i="10"/>
  <c r="BD86" i="10"/>
  <c r="BA86" i="10"/>
  <c r="AV86" i="10" a="1"/>
  <c r="AV86" i="10" s="1"/>
  <c r="BD85" i="10"/>
  <c r="BG85" i="10"/>
  <c r="BA85" i="10"/>
  <c r="BF88" i="10"/>
  <c r="BB88" i="10"/>
  <c r="AX88" i="10"/>
  <c r="AW88" i="10"/>
  <c r="BG88" i="10"/>
  <c r="AV88" i="10" a="1"/>
  <c r="AV88" i="10" s="1"/>
  <c r="BF94" i="10"/>
  <c r="BB94" i="10"/>
  <c r="AX94" i="10"/>
  <c r="AW94" i="10"/>
  <c r="BC94" i="10"/>
  <c r="AY94" i="10"/>
  <c r="BF71" i="10"/>
  <c r="BB71" i="10"/>
  <c r="AX71" i="10"/>
  <c r="BC71" i="10"/>
  <c r="BA71" i="10"/>
  <c r="AV71" i="10" a="1"/>
  <c r="AV71" i="10" s="1"/>
  <c r="BF75" i="10"/>
  <c r="BB75" i="10"/>
  <c r="AX75" i="10"/>
  <c r="BC75" i="10"/>
  <c r="BA75" i="10"/>
  <c r="AV75" i="10" a="1"/>
  <c r="AV75" i="10" s="1"/>
  <c r="BF79" i="10"/>
  <c r="BB79" i="10"/>
  <c r="AX79" i="10"/>
  <c r="BC79" i="10"/>
  <c r="BA79" i="10"/>
  <c r="AV79" i="10" a="1"/>
  <c r="AV79" i="10" s="1"/>
  <c r="BF83" i="10"/>
  <c r="BB83" i="10"/>
  <c r="AX83" i="10"/>
  <c r="BC83" i="10"/>
  <c r="BA83" i="10"/>
  <c r="AV83" i="10" a="1"/>
  <c r="AV83" i="10" s="1"/>
  <c r="BF89" i="10"/>
  <c r="BB89" i="10"/>
  <c r="AX89" i="10"/>
  <c r="BC89" i="10"/>
  <c r="AW89" i="10"/>
  <c r="AV89" i="10" a="1"/>
  <c r="AV89" i="10" s="1"/>
  <c r="BF93" i="10"/>
  <c r="BB93" i="10"/>
  <c r="AX93" i="10"/>
  <c r="BC93" i="10"/>
  <c r="AW93" i="10"/>
  <c r="AV93" i="10" a="1"/>
  <c r="AV93" i="10" s="1"/>
  <c r="BF97" i="10"/>
  <c r="BB97" i="10"/>
  <c r="AX97" i="10"/>
  <c r="BC97" i="10"/>
  <c r="BA97" i="10"/>
  <c r="AV97" i="10" a="1"/>
  <c r="AV97" i="10" s="1"/>
  <c r="BF80" i="10"/>
  <c r="BB80" i="10"/>
  <c r="AX80" i="10"/>
  <c r="AW80" i="10"/>
  <c r="BG80" i="10"/>
  <c r="AV80" i="10" a="1"/>
  <c r="AV80" i="10" s="1"/>
  <c r="BF63" i="10"/>
  <c r="BB63" i="10"/>
  <c r="AX63" i="10"/>
  <c r="BC63" i="10"/>
  <c r="AV63" i="10" a="1"/>
  <c r="AV63" i="10" s="1"/>
  <c r="AW63" i="10"/>
  <c r="BF67" i="10"/>
  <c r="BB67" i="10"/>
  <c r="AX67" i="10"/>
  <c r="BC67" i="10"/>
  <c r="AV67" i="10" a="1"/>
  <c r="AV67" i="10" s="1"/>
  <c r="AW67" i="10"/>
  <c r="BF86" i="10"/>
  <c r="BB86" i="10"/>
  <c r="AX86" i="10"/>
  <c r="AW86" i="10"/>
  <c r="BC86" i="10"/>
  <c r="AY86" i="10"/>
  <c r="BF85" i="10"/>
  <c r="BB85" i="10"/>
  <c r="AX85" i="10"/>
  <c r="BC85" i="10"/>
  <c r="AW85" i="10"/>
  <c r="AV85" i="10" a="1"/>
  <c r="AV85" i="10" s="1"/>
  <c r="AV82" i="10" a="1"/>
  <c r="AV82" i="10" s="1"/>
  <c r="BA53" i="10"/>
  <c r="BA50" i="10"/>
  <c r="BG44" i="10"/>
  <c r="AV52" i="10" a="1"/>
  <c r="AV52" i="10" s="1"/>
  <c r="BA64" i="10"/>
  <c r="AY76" i="10"/>
  <c r="BA98" i="10"/>
  <c r="AX105" i="10"/>
  <c r="BG78" i="10"/>
  <c r="AZ50" i="10"/>
  <c r="BH76" i="10"/>
  <c r="BD82" i="10"/>
  <c r="BG102" i="10"/>
  <c r="AX106" i="10"/>
  <c r="AW45" i="10"/>
  <c r="BG61" i="10"/>
  <c r="BH50" i="10"/>
  <c r="AZ76" i="10"/>
  <c r="AX84" i="10"/>
  <c r="BA82" i="10"/>
  <c r="AY98" i="10"/>
  <c r="BD98" i="10"/>
  <c r="BC105" i="10"/>
  <c r="BF105" i="10"/>
  <c r="BH49" i="10"/>
  <c r="BG62" i="10"/>
  <c r="BD65" i="10"/>
  <c r="BG69" i="10"/>
  <c r="AY91" i="10"/>
  <c r="BD50" i="10"/>
  <c r="AW50" i="10"/>
  <c r="BG50" i="10"/>
  <c r="AW44" i="10"/>
  <c r="BD44" i="10"/>
  <c r="BB52" i="10"/>
  <c r="BC52" i="10"/>
  <c r="AY64" i="10"/>
  <c r="BD64" i="10"/>
  <c r="BC76" i="10"/>
  <c r="BA76" i="10"/>
  <c r="BD76" i="10"/>
  <c r="BG84" i="10"/>
  <c r="BF84" i="10"/>
  <c r="BG82" i="10"/>
  <c r="AZ82" i="10"/>
  <c r="BH82" i="10"/>
  <c r="BG98" i="10"/>
  <c r="AZ98" i="10"/>
  <c r="BH98" i="10"/>
  <c r="AY105" i="10"/>
  <c r="AW105" i="10"/>
  <c r="BB105" i="10"/>
  <c r="AW102" i="10"/>
  <c r="BD102" i="10"/>
  <c r="BA106" i="10"/>
  <c r="BD45" i="10"/>
  <c r="AZ53" i="10"/>
  <c r="BH56" i="10"/>
  <c r="BA65" i="10"/>
  <c r="BA70" i="10"/>
  <c r="AY73" i="10"/>
  <c r="BH81" i="10"/>
  <c r="AX50" i="10"/>
  <c r="BB50" i="10"/>
  <c r="BF50" i="10"/>
  <c r="AV50" i="10" a="1"/>
  <c r="AV50" i="10" s="1"/>
  <c r="AY50" i="10"/>
  <c r="BA44" i="10"/>
  <c r="AZ44" i="10"/>
  <c r="BH44" i="10"/>
  <c r="AX52" i="10"/>
  <c r="BF52" i="10"/>
  <c r="AY52" i="10"/>
  <c r="BG64" i="10"/>
  <c r="AZ64" i="10"/>
  <c r="BH64" i="10"/>
  <c r="AV76" i="10" a="1"/>
  <c r="AV76" i="10" s="1"/>
  <c r="BG76" i="10"/>
  <c r="AW76" i="10"/>
  <c r="AX76" i="10"/>
  <c r="BB76" i="10"/>
  <c r="AV84" i="10" a="1"/>
  <c r="AV84" i="10" s="1"/>
  <c r="AW84" i="10"/>
  <c r="BB84" i="10"/>
  <c r="AY82" i="10"/>
  <c r="BC82" i="10"/>
  <c r="AW82" i="10"/>
  <c r="AX82" i="10"/>
  <c r="BB82" i="10"/>
  <c r="AV98" i="10" a="1"/>
  <c r="AV98" i="10" s="1"/>
  <c r="BC98" i="10"/>
  <c r="AW98" i="10"/>
  <c r="AX98" i="10"/>
  <c r="BB98" i="10"/>
  <c r="AV105" i="10" a="1"/>
  <c r="AV105" i="10" s="1"/>
  <c r="BG105" i="10"/>
  <c r="BA105" i="10"/>
  <c r="AZ105" i="10"/>
  <c r="BD105" i="10"/>
  <c r="AY102" i="10"/>
  <c r="AZ102" i="10"/>
  <c r="BH102" i="10"/>
  <c r="AV106" i="10" a="1"/>
  <c r="AV106" i="10" s="1"/>
  <c r="BC106" i="10"/>
  <c r="AZ49" i="10"/>
  <c r="BA61" i="10"/>
  <c r="AV70" i="10" a="1"/>
  <c r="AV70" i="10" s="1"/>
  <c r="BA69" i="10"/>
  <c r="BH106" i="10"/>
  <c r="BF106" i="10"/>
  <c r="BD112" i="10"/>
  <c r="BG112" i="10"/>
  <c r="BA112" i="10"/>
  <c r="BD56" i="10"/>
  <c r="BA56" i="10"/>
  <c r="AY56" i="10"/>
  <c r="BD57" i="10"/>
  <c r="BG57" i="10"/>
  <c r="BA57" i="10"/>
  <c r="BD62" i="10"/>
  <c r="BA62" i="10"/>
  <c r="AY62" i="10"/>
  <c r="BD72" i="10"/>
  <c r="BA72" i="10"/>
  <c r="BC72" i="10"/>
  <c r="BD78" i="10"/>
  <c r="BA78" i="10"/>
  <c r="AV78" i="10" a="1"/>
  <c r="AV78" i="10" s="1"/>
  <c r="BD107" i="10"/>
  <c r="BA107" i="10"/>
  <c r="BC107" i="10"/>
  <c r="BD73" i="10"/>
  <c r="BG73" i="10"/>
  <c r="BA73" i="10"/>
  <c r="BD77" i="10"/>
  <c r="BG77" i="10"/>
  <c r="BA77" i="10"/>
  <c r="BD81" i="10"/>
  <c r="BG81" i="10"/>
  <c r="BA81" i="10"/>
  <c r="BD87" i="10"/>
  <c r="BG87" i="10"/>
  <c r="AW87" i="10"/>
  <c r="BD91" i="10"/>
  <c r="BG91" i="10"/>
  <c r="AW91" i="10"/>
  <c r="BD95" i="10"/>
  <c r="BG95" i="10"/>
  <c r="AW95" i="10"/>
  <c r="BD101" i="10"/>
  <c r="BG101" i="10"/>
  <c r="AW101" i="10"/>
  <c r="BF45" i="10"/>
  <c r="BB45" i="10"/>
  <c r="AX45" i="10"/>
  <c r="BC45" i="10"/>
  <c r="AY45" i="10"/>
  <c r="AV45" i="10" a="1"/>
  <c r="AV45" i="10" s="1"/>
  <c r="BC49" i="10"/>
  <c r="AY49" i="10"/>
  <c r="AV49" i="10" a="1"/>
  <c r="AV49" i="10" s="1"/>
  <c r="BF49" i="10"/>
  <c r="BB49" i="10"/>
  <c r="AX49" i="10"/>
  <c r="BC53" i="10"/>
  <c r="AY53" i="10"/>
  <c r="AV53" i="10" a="1"/>
  <c r="AV53" i="10" s="1"/>
  <c r="BF53" i="10"/>
  <c r="BB53" i="10"/>
  <c r="AX53" i="10"/>
  <c r="BF61" i="10"/>
  <c r="BB61" i="10"/>
  <c r="AX61" i="10"/>
  <c r="BC61" i="10"/>
  <c r="AV61" i="10" a="1"/>
  <c r="AV61" i="10" s="1"/>
  <c r="AW61" i="10"/>
  <c r="BF65" i="10"/>
  <c r="BB65" i="10"/>
  <c r="AX65" i="10"/>
  <c r="BC65" i="10"/>
  <c r="AV65" i="10" a="1"/>
  <c r="AV65" i="10" s="1"/>
  <c r="AW65" i="10"/>
  <c r="BF70" i="10"/>
  <c r="BB70" i="10"/>
  <c r="AX70" i="10"/>
  <c r="AW70" i="10"/>
  <c r="BC70" i="10"/>
  <c r="AY70" i="10"/>
  <c r="BF69" i="10"/>
  <c r="BB69" i="10"/>
  <c r="AX69" i="10"/>
  <c r="BC69" i="10"/>
  <c r="AW69" i="10"/>
  <c r="AV69" i="10" a="1"/>
  <c r="AV69" i="10" s="1"/>
  <c r="AV44" i="10" a="1"/>
  <c r="AV44" i="10" s="1"/>
  <c r="AY44" i="10"/>
  <c r="BC44" i="10"/>
  <c r="AX44" i="10"/>
  <c r="BB44" i="10"/>
  <c r="AZ52" i="10"/>
  <c r="BD52" i="10"/>
  <c r="BH52" i="10"/>
  <c r="AW52" i="10"/>
  <c r="BA52" i="10"/>
  <c r="AV64" i="10" a="1"/>
  <c r="AV64" i="10" s="1"/>
  <c r="BC64" i="10"/>
  <c r="AW64" i="10"/>
  <c r="AX64" i="10"/>
  <c r="BB64" i="10"/>
  <c r="BC84" i="10"/>
  <c r="AY84" i="10"/>
  <c r="BA84" i="10"/>
  <c r="AZ84" i="10"/>
  <c r="BD84" i="10"/>
  <c r="AV102" i="10" a="1"/>
  <c r="AV102" i="10" s="1"/>
  <c r="BA102" i="10"/>
  <c r="BC102" i="10"/>
  <c r="AX102" i="10"/>
  <c r="BB102" i="10"/>
  <c r="AW106" i="10"/>
  <c r="AY106" i="10"/>
  <c r="BG106" i="10"/>
  <c r="AZ106" i="10"/>
  <c r="BD106" i="10"/>
  <c r="AY112" i="10"/>
  <c r="BH112" i="10"/>
  <c r="BA45" i="10"/>
  <c r="AZ45" i="10"/>
  <c r="BH45" i="10"/>
  <c r="BD49" i="10"/>
  <c r="AW49" i="10"/>
  <c r="BG49" i="10"/>
  <c r="BD53" i="10"/>
  <c r="AW53" i="10"/>
  <c r="BG53" i="10"/>
  <c r="AZ56" i="10"/>
  <c r="AY57" i="10"/>
  <c r="BH57" i="10"/>
  <c r="AZ62" i="10"/>
  <c r="AY72" i="10"/>
  <c r="BH72" i="10"/>
  <c r="AY61" i="10"/>
  <c r="AZ61" i="10"/>
  <c r="BH61" i="10"/>
  <c r="AY65" i="10"/>
  <c r="AZ65" i="10"/>
  <c r="BH65" i="10"/>
  <c r="BG70" i="10"/>
  <c r="AZ70" i="10"/>
  <c r="BH70" i="10"/>
  <c r="AZ78" i="10"/>
  <c r="AY107" i="10"/>
  <c r="BH107" i="10"/>
  <c r="AY69" i="10"/>
  <c r="AZ69" i="10"/>
  <c r="BH69" i="10"/>
  <c r="AZ73" i="10"/>
  <c r="AY77" i="10"/>
  <c r="BH77" i="10"/>
  <c r="AZ81" i="10"/>
  <c r="AY87" i="10"/>
  <c r="BH87" i="10"/>
  <c r="AZ91" i="10"/>
  <c r="AY95" i="10"/>
  <c r="BH95" i="10"/>
  <c r="AZ101" i="10"/>
  <c r="BF112" i="10"/>
  <c r="BB112" i="10"/>
  <c r="AX112" i="10"/>
  <c r="BC112" i="10"/>
  <c r="AW112" i="10"/>
  <c r="AV112" i="10" a="1"/>
  <c r="AV112" i="10" s="1"/>
  <c r="BF56" i="10"/>
  <c r="BB56" i="10"/>
  <c r="AX56" i="10"/>
  <c r="AW56" i="10"/>
  <c r="BC56" i="10"/>
  <c r="AV56" i="10" a="1"/>
  <c r="AV56" i="10" s="1"/>
  <c r="BF57" i="10"/>
  <c r="BB57" i="10"/>
  <c r="AX57" i="10"/>
  <c r="BC57" i="10"/>
  <c r="AV57" i="10" a="1"/>
  <c r="AV57" i="10" s="1"/>
  <c r="AW57" i="10"/>
  <c r="BF62" i="10"/>
  <c r="BB62" i="10"/>
  <c r="AX62" i="10"/>
  <c r="AW62" i="10"/>
  <c r="BC62" i="10"/>
  <c r="AV62" i="10" a="1"/>
  <c r="AV62" i="10" s="1"/>
  <c r="BF72" i="10"/>
  <c r="BB72" i="10"/>
  <c r="AX72" i="10"/>
  <c r="AW72" i="10"/>
  <c r="BG72" i="10"/>
  <c r="AV72" i="10" a="1"/>
  <c r="AV72" i="10" s="1"/>
  <c r="BF78" i="10"/>
  <c r="BB78" i="10"/>
  <c r="AX78" i="10"/>
  <c r="AW78" i="10"/>
  <c r="BC78" i="10"/>
  <c r="AY78" i="10"/>
  <c r="BF107" i="10"/>
  <c r="BB107" i="10"/>
  <c r="AX107" i="10"/>
  <c r="AW107" i="10"/>
  <c r="BG107" i="10"/>
  <c r="AV107" i="10" a="1"/>
  <c r="AV107" i="10" s="1"/>
  <c r="BF73" i="10"/>
  <c r="BB73" i="10"/>
  <c r="AX73" i="10"/>
  <c r="BC73" i="10"/>
  <c r="AW73" i="10"/>
  <c r="AV73" i="10" a="1"/>
  <c r="AV73" i="10" s="1"/>
  <c r="BF77" i="10"/>
  <c r="BB77" i="10"/>
  <c r="AX77" i="10"/>
  <c r="BC77" i="10"/>
  <c r="AW77" i="10"/>
  <c r="AV77" i="10" a="1"/>
  <c r="AV77" i="10" s="1"/>
  <c r="BF81" i="10"/>
  <c r="BB81" i="10"/>
  <c r="AX81" i="10"/>
  <c r="BC81" i="10"/>
  <c r="AW81" i="10"/>
  <c r="AV81" i="10" a="1"/>
  <c r="AV81" i="10" s="1"/>
  <c r="BF87" i="10"/>
  <c r="BB87" i="10"/>
  <c r="AX87" i="10"/>
  <c r="BC87" i="10"/>
  <c r="BA87" i="10"/>
  <c r="AV87" i="10" a="1"/>
  <c r="AV87" i="10" s="1"/>
  <c r="BF91" i="10"/>
  <c r="BB91" i="10"/>
  <c r="AX91" i="10"/>
  <c r="BC91" i="10"/>
  <c r="BA91" i="10"/>
  <c r="AV91" i="10" a="1"/>
  <c r="AV91" i="10" s="1"/>
  <c r="BF95" i="10"/>
  <c r="BB95" i="10"/>
  <c r="AX95" i="10"/>
  <c r="BC95" i="10"/>
  <c r="BA95" i="10"/>
  <c r="AV95" i="10" a="1"/>
  <c r="AV95" i="10" s="1"/>
  <c r="BF101" i="10"/>
  <c r="BB101" i="10"/>
  <c r="AX101" i="10"/>
  <c r="BC101" i="10"/>
  <c r="BA101" i="10"/>
  <c r="AV101" i="10" a="1"/>
  <c r="AV101" i="10" s="1"/>
  <c r="BB42" i="10"/>
  <c r="AV42" i="10" a="1"/>
  <c r="AV42" i="10" s="1"/>
  <c r="BC42" i="10"/>
  <c r="BB48" i="10"/>
  <c r="AV48" i="10" a="1"/>
  <c r="AV48" i="10" s="1"/>
  <c r="BC48" i="10"/>
  <c r="BC58" i="10"/>
  <c r="AX58" i="10"/>
  <c r="BF58" i="10"/>
  <c r="BG68" i="10"/>
  <c r="AX68" i="10"/>
  <c r="BF68" i="10"/>
  <c r="BA99" i="10"/>
  <c r="AX99" i="10"/>
  <c r="BF99" i="10"/>
  <c r="AW104" i="10"/>
  <c r="AX104" i="10"/>
  <c r="BF104" i="10"/>
  <c r="BA110" i="10"/>
  <c r="AX110" i="10"/>
  <c r="BF110" i="10"/>
  <c r="AZ42" i="10"/>
  <c r="BD42" i="10"/>
  <c r="BH42" i="10"/>
  <c r="AW42" i="10"/>
  <c r="BA42" i="10"/>
  <c r="AZ48" i="10"/>
  <c r="BD48" i="10"/>
  <c r="BH48" i="10"/>
  <c r="AW48" i="10"/>
  <c r="BA48" i="10"/>
  <c r="AY58" i="10"/>
  <c r="BG58" i="10"/>
  <c r="BA58" i="10"/>
  <c r="AZ58" i="10"/>
  <c r="BD58" i="10"/>
  <c r="BC68" i="10"/>
  <c r="AY68" i="10"/>
  <c r="BA68" i="10"/>
  <c r="AZ68" i="10"/>
  <c r="BD68" i="10"/>
  <c r="AW99" i="10"/>
  <c r="AY99" i="10"/>
  <c r="BG99" i="10"/>
  <c r="AZ99" i="10"/>
  <c r="BD99" i="10"/>
  <c r="BA104" i="10"/>
  <c r="AY104" i="10"/>
  <c r="BG104" i="10"/>
  <c r="AZ104" i="10"/>
  <c r="BD104" i="10"/>
  <c r="AW110" i="10"/>
  <c r="AY110" i="10"/>
  <c r="BG110" i="10"/>
  <c r="AZ110" i="10"/>
  <c r="BD110" i="10"/>
  <c r="C37" i="5" l="1" a="1"/>
  <c r="C37" i="5" s="1"/>
  <c r="O37" i="5" s="1" a="1"/>
  <c r="O37" i="5" s="1"/>
  <c r="C36" i="5" a="1"/>
  <c r="C36" i="5" s="1"/>
  <c r="O36" i="5" s="1" a="1"/>
  <c r="O36" i="5" s="1"/>
  <c r="C35" i="5" a="1"/>
  <c r="C35" i="5" s="1"/>
  <c r="O35" i="5" s="1" a="1"/>
  <c r="O35" i="5" s="1"/>
  <c r="C34" i="5" a="1"/>
  <c r="C34" i="5" s="1"/>
  <c r="O34" i="5" s="1" a="1"/>
  <c r="O34" i="5" s="1"/>
  <c r="C33" i="5" a="1"/>
  <c r="C33" i="5" s="1"/>
  <c r="O33" i="5" s="1" a="1"/>
  <c r="O33" i="5" s="1"/>
  <c r="C32" i="5" a="1"/>
  <c r="C32" i="5" s="1"/>
  <c r="O32" i="5" s="1" a="1"/>
  <c r="O32" i="5" s="1"/>
  <c r="C31" i="5" a="1"/>
  <c r="C31" i="5" s="1"/>
  <c r="O31" i="5" s="1" a="1"/>
  <c r="O31" i="5" s="1"/>
  <c r="C30" i="5" a="1"/>
  <c r="C30" i="5" s="1"/>
  <c r="O30" i="5" s="1" a="1"/>
  <c r="O30" i="5" s="1"/>
  <c r="C29" i="5" a="1"/>
  <c r="C29" i="5" s="1"/>
  <c r="O29" i="5" s="1" a="1"/>
  <c r="O29" i="5" s="1"/>
  <c r="C28" i="5" a="1"/>
  <c r="C28" i="5" s="1"/>
  <c r="O28" i="5" s="1" a="1"/>
  <c r="O28" i="5" s="1"/>
  <c r="C27" i="5" a="1"/>
  <c r="C27" i="5" s="1"/>
  <c r="O27" i="5" s="1" a="1"/>
  <c r="O27" i="5" s="1"/>
  <c r="C26" i="5" a="1"/>
  <c r="C26" i="5" s="1"/>
  <c r="O26" i="5" s="1" a="1"/>
  <c r="O26" i="5" s="1"/>
  <c r="C25" i="5" a="1"/>
  <c r="C25" i="5" s="1"/>
  <c r="O25" i="5" s="1" a="1"/>
  <c r="O25" i="5" s="1"/>
  <c r="C24" i="5" a="1"/>
  <c r="C24" i="5" s="1"/>
  <c r="O24" i="5" s="1" a="1"/>
  <c r="O24" i="5" s="1"/>
  <c r="C23" i="5" a="1"/>
  <c r="C23" i="5" s="1"/>
  <c r="O23" i="5" s="1" a="1"/>
  <c r="O23" i="5" s="1"/>
  <c r="BD41" i="11"/>
  <c r="BB41" i="11"/>
  <c r="AM41" i="11"/>
  <c r="T41" i="11"/>
  <c r="S41" i="11"/>
  <c r="O41" i="11"/>
  <c r="N41" i="11"/>
  <c r="I41" i="11"/>
  <c r="BD40" i="11"/>
  <c r="BB40" i="11"/>
  <c r="AM40" i="11"/>
  <c r="T40" i="11"/>
  <c r="S40" i="11"/>
  <c r="O40" i="11"/>
  <c r="N40" i="11"/>
  <c r="I40" i="11"/>
  <c r="BD39" i="11"/>
  <c r="BB39" i="11"/>
  <c r="AM39" i="11"/>
  <c r="T39" i="11"/>
  <c r="S39" i="11"/>
  <c r="O39" i="11"/>
  <c r="N39" i="11"/>
  <c r="I39" i="11"/>
  <c r="BD38" i="11"/>
  <c r="BB38" i="11"/>
  <c r="AM38" i="11"/>
  <c r="T38" i="11"/>
  <c r="S38" i="11"/>
  <c r="O38" i="11"/>
  <c r="N38" i="11"/>
  <c r="I38" i="11"/>
  <c r="BD37" i="11"/>
  <c r="BB37" i="11"/>
  <c r="AM37" i="11"/>
  <c r="T37" i="11"/>
  <c r="S37" i="11"/>
  <c r="O37" i="11"/>
  <c r="N37" i="11"/>
  <c r="I37" i="11"/>
  <c r="BD36" i="11"/>
  <c r="BB36" i="11"/>
  <c r="AM36" i="11"/>
  <c r="T36" i="11"/>
  <c r="S36" i="11"/>
  <c r="O36" i="11"/>
  <c r="N36" i="11"/>
  <c r="I36" i="11"/>
  <c r="BD35" i="11"/>
  <c r="BB35" i="11"/>
  <c r="AM35" i="11"/>
  <c r="T35" i="11"/>
  <c r="S35" i="11"/>
  <c r="O35" i="11"/>
  <c r="N35" i="11"/>
  <c r="I35" i="11"/>
  <c r="BD34" i="11"/>
  <c r="BB34" i="11"/>
  <c r="AM34" i="11"/>
  <c r="T34" i="11"/>
  <c r="S34" i="11"/>
  <c r="O34" i="11"/>
  <c r="N34" i="11"/>
  <c r="I34" i="11"/>
  <c r="BD33" i="11"/>
  <c r="BB33" i="11"/>
  <c r="AM33" i="11"/>
  <c r="T33" i="11"/>
  <c r="S33" i="11"/>
  <c r="O33" i="11"/>
  <c r="N33" i="11"/>
  <c r="I33" i="11"/>
  <c r="BD32" i="11"/>
  <c r="BB32" i="11"/>
  <c r="AM32" i="11"/>
  <c r="T32" i="11"/>
  <c r="S32" i="11"/>
  <c r="O32" i="11"/>
  <c r="N32" i="11"/>
  <c r="I32" i="11"/>
  <c r="BD31" i="11"/>
  <c r="BB31" i="11"/>
  <c r="AM31" i="11"/>
  <c r="T31" i="11"/>
  <c r="S31" i="11"/>
  <c r="O31" i="11"/>
  <c r="N31" i="11"/>
  <c r="I31" i="11"/>
  <c r="BD30" i="11"/>
  <c r="BB30" i="11"/>
  <c r="AM30" i="11"/>
  <c r="T30" i="11"/>
  <c r="S30" i="11"/>
  <c r="O30" i="11"/>
  <c r="N30" i="11"/>
  <c r="I30" i="11"/>
  <c r="BD29" i="11"/>
  <c r="BB29" i="11"/>
  <c r="AM29" i="11"/>
  <c r="T29" i="11"/>
  <c r="S29" i="11"/>
  <c r="O29" i="11"/>
  <c r="N29" i="11"/>
  <c r="I29" i="11"/>
  <c r="BD28" i="11"/>
  <c r="BB28" i="11"/>
  <c r="AM28" i="11"/>
  <c r="T28" i="11"/>
  <c r="S28" i="11"/>
  <c r="O28" i="11"/>
  <c r="N28" i="11"/>
  <c r="I28" i="11"/>
  <c r="BD27" i="11"/>
  <c r="BB27" i="11"/>
  <c r="AM27" i="11"/>
  <c r="T27" i="11"/>
  <c r="S27" i="11"/>
  <c r="O27" i="11"/>
  <c r="N27" i="11"/>
  <c r="I27" i="11"/>
  <c r="BL40" i="10"/>
  <c r="BI40" i="10" s="1"/>
  <c r="BJ40" i="10"/>
  <c r="AP40" i="10"/>
  <c r="V40" i="10"/>
  <c r="X40" i="10" s="1"/>
  <c r="BP40" i="10" s="1"/>
  <c r="S40" i="10"/>
  <c r="BO40" i="10" s="1"/>
  <c r="P40" i="10"/>
  <c r="N40" i="10"/>
  <c r="H40" i="10"/>
  <c r="BL39" i="10"/>
  <c r="BI39" i="10" s="1"/>
  <c r="BJ39" i="10"/>
  <c r="AP39" i="10"/>
  <c r="V39" i="10"/>
  <c r="X39" i="10" s="1"/>
  <c r="BP39" i="10" s="1"/>
  <c r="S39" i="10"/>
  <c r="U39" i="10" s="1"/>
  <c r="P39" i="10"/>
  <c r="N39" i="10"/>
  <c r="H39" i="10"/>
  <c r="BL38" i="10"/>
  <c r="BE38" i="10" s="1"/>
  <c r="BJ38" i="10"/>
  <c r="AP38" i="10"/>
  <c r="V38" i="10"/>
  <c r="X38" i="10" s="1"/>
  <c r="BP38" i="10" s="1"/>
  <c r="S38" i="10"/>
  <c r="BO38" i="10" s="1"/>
  <c r="P38" i="10"/>
  <c r="N38" i="10"/>
  <c r="H38" i="10"/>
  <c r="BL37" i="10"/>
  <c r="BI37" i="10" s="1"/>
  <c r="BJ37" i="10"/>
  <c r="AP37" i="10"/>
  <c r="V37" i="10"/>
  <c r="X37" i="10" s="1"/>
  <c r="BP37" i="10" s="1"/>
  <c r="S37" i="10"/>
  <c r="U37" i="10" s="1"/>
  <c r="P37" i="10"/>
  <c r="N37" i="10"/>
  <c r="H37" i="10"/>
  <c r="BL36" i="10"/>
  <c r="BE36" i="10" s="1"/>
  <c r="BJ36" i="10"/>
  <c r="AP36" i="10"/>
  <c r="V36" i="10"/>
  <c r="X36" i="10" s="1"/>
  <c r="BP36" i="10" s="1"/>
  <c r="S36" i="10"/>
  <c r="U36" i="10" s="1"/>
  <c r="P36" i="10"/>
  <c r="N36" i="10"/>
  <c r="H36" i="10"/>
  <c r="BL35" i="10"/>
  <c r="BI35" i="10" s="1"/>
  <c r="BJ35" i="10"/>
  <c r="AP35" i="10"/>
  <c r="V35" i="10"/>
  <c r="X35" i="10" s="1"/>
  <c r="BP35" i="10" s="1"/>
  <c r="S35" i="10"/>
  <c r="U35" i="10" s="1"/>
  <c r="P35" i="10"/>
  <c r="N35" i="10"/>
  <c r="H35" i="10"/>
  <c r="BL34" i="10"/>
  <c r="BE34" i="10" s="1"/>
  <c r="BJ34" i="10"/>
  <c r="AP34" i="10"/>
  <c r="V34" i="10"/>
  <c r="X34" i="10" s="1"/>
  <c r="BP34" i="10" s="1"/>
  <c r="S34" i="10"/>
  <c r="BO34" i="10" s="1"/>
  <c r="P34" i="10"/>
  <c r="N34" i="10"/>
  <c r="H34" i="10"/>
  <c r="BL33" i="10"/>
  <c r="BI33" i="10" s="1"/>
  <c r="BJ33" i="10"/>
  <c r="AP33" i="10"/>
  <c r="V33" i="10"/>
  <c r="X33" i="10" s="1"/>
  <c r="BP33" i="10" s="1"/>
  <c r="S33" i="10"/>
  <c r="U33" i="10" s="1"/>
  <c r="P33" i="10"/>
  <c r="N33" i="10"/>
  <c r="H33" i="10"/>
  <c r="BL32" i="10"/>
  <c r="BE32" i="10" s="1"/>
  <c r="BJ32" i="10"/>
  <c r="AP32" i="10"/>
  <c r="V32" i="10"/>
  <c r="X32" i="10" s="1"/>
  <c r="BP32" i="10" s="1"/>
  <c r="S32" i="10"/>
  <c r="BO32" i="10" s="1"/>
  <c r="P32" i="10"/>
  <c r="N32" i="10"/>
  <c r="H32" i="10"/>
  <c r="BL31" i="10"/>
  <c r="BI31" i="10" s="1"/>
  <c r="BJ31" i="10"/>
  <c r="AP31" i="10"/>
  <c r="V31" i="10"/>
  <c r="X31" i="10" s="1"/>
  <c r="BP31" i="10" s="1"/>
  <c r="S31" i="10"/>
  <c r="U31" i="10" s="1"/>
  <c r="P31" i="10"/>
  <c r="N31" i="10"/>
  <c r="H31" i="10"/>
  <c r="BL30" i="10"/>
  <c r="BE30" i="10" s="1"/>
  <c r="BJ30" i="10"/>
  <c r="AP30" i="10"/>
  <c r="V30" i="10"/>
  <c r="X30" i="10" s="1"/>
  <c r="BP30" i="10" s="1"/>
  <c r="S30" i="10"/>
  <c r="BO30" i="10" s="1"/>
  <c r="P30" i="10"/>
  <c r="N30" i="10"/>
  <c r="H30" i="10"/>
  <c r="BL29" i="10"/>
  <c r="BI29" i="10" s="1"/>
  <c r="BJ29" i="10"/>
  <c r="AP29" i="10"/>
  <c r="V29" i="10"/>
  <c r="X29" i="10" s="1"/>
  <c r="BP29" i="10" s="1"/>
  <c r="S29" i="10"/>
  <c r="U29" i="10" s="1"/>
  <c r="P29" i="10"/>
  <c r="N29" i="10"/>
  <c r="H29" i="10"/>
  <c r="BL28" i="10"/>
  <c r="BJ28" i="10"/>
  <c r="AP28" i="10"/>
  <c r="V28" i="10"/>
  <c r="X28" i="10" s="1"/>
  <c r="BP28" i="10" s="1"/>
  <c r="S28" i="10"/>
  <c r="BO28" i="10" s="1"/>
  <c r="P28" i="10"/>
  <c r="N28" i="10"/>
  <c r="H28" i="10"/>
  <c r="BL27" i="10"/>
  <c r="BJ27" i="10"/>
  <c r="AP27" i="10"/>
  <c r="V27" i="10"/>
  <c r="X27" i="10" s="1"/>
  <c r="BP27" i="10" s="1"/>
  <c r="S27" i="10"/>
  <c r="U27" i="10" s="1"/>
  <c r="P27" i="10"/>
  <c r="N27" i="10"/>
  <c r="H27" i="10"/>
  <c r="BL26" i="10"/>
  <c r="Z26" i="10" s="1"/>
  <c r="BJ26" i="10"/>
  <c r="AP26" i="10"/>
  <c r="V26" i="10"/>
  <c r="X26" i="10" s="1"/>
  <c r="BP26" i="10" s="1"/>
  <c r="S26" i="10"/>
  <c r="U26" i="10" s="1"/>
  <c r="P26" i="10"/>
  <c r="N26" i="10"/>
  <c r="H26" i="10"/>
  <c r="C38" i="5" a="1"/>
  <c r="C38" i="5" s="1"/>
  <c r="O38" i="5" s="1" a="1"/>
  <c r="O38" i="5" s="1"/>
  <c r="C22" i="5" a="1"/>
  <c r="C22" i="5" s="1"/>
  <c r="O22" i="5" s="1" a="1"/>
  <c r="O22" i="5" s="1"/>
  <c r="AR35" i="10" l="1"/>
  <c r="AS35" i="10"/>
  <c r="AR26" i="10"/>
  <c r="C26" i="10" s="1" a="1"/>
  <c r="C26" i="10" s="1"/>
  <c r="AV26" i="10" s="1" a="1"/>
  <c r="AV26" i="10" s="1"/>
  <c r="AS26" i="10"/>
  <c r="AR30" i="10"/>
  <c r="AS30" i="10"/>
  <c r="AR38" i="10"/>
  <c r="AS38" i="10"/>
  <c r="AR40" i="10"/>
  <c r="AS40" i="10"/>
  <c r="AR27" i="10"/>
  <c r="AS27" i="10"/>
  <c r="AR32" i="10"/>
  <c r="AS32" i="10"/>
  <c r="AR29" i="10"/>
  <c r="AS29" i="10"/>
  <c r="AR37" i="10"/>
  <c r="AS37" i="10"/>
  <c r="AO28" i="11"/>
  <c r="C28" i="11" s="1" a="1"/>
  <c r="C28" i="11" s="1"/>
  <c r="AP28" i="11"/>
  <c r="AO30" i="11"/>
  <c r="AP30" i="11"/>
  <c r="AO32" i="11"/>
  <c r="C32" i="11" s="1" a="1"/>
  <c r="C32" i="11" s="1"/>
  <c r="AP32" i="11"/>
  <c r="AO34" i="11"/>
  <c r="C34" i="11" s="1" a="1"/>
  <c r="C34" i="11" s="1"/>
  <c r="AP34" i="11"/>
  <c r="AO36" i="11"/>
  <c r="AP36" i="11"/>
  <c r="C36" i="11" s="1" a="1"/>
  <c r="C36" i="11" s="1"/>
  <c r="AO38" i="11"/>
  <c r="C38" i="11" s="1" a="1"/>
  <c r="C38" i="11" s="1"/>
  <c r="AP38" i="11"/>
  <c r="AO40" i="11"/>
  <c r="AP40" i="11"/>
  <c r="AR39" i="10"/>
  <c r="AS39" i="10"/>
  <c r="AR31" i="10"/>
  <c r="AS31" i="10"/>
  <c r="AR33" i="10"/>
  <c r="AS33" i="10"/>
  <c r="AO27" i="11"/>
  <c r="C27" i="11" s="1" a="1"/>
  <c r="C27" i="11" s="1"/>
  <c r="AU27" i="11" s="1"/>
  <c r="AP27" i="11"/>
  <c r="AO29" i="11"/>
  <c r="C29" i="11" s="1" a="1"/>
  <c r="C29" i="11" s="1"/>
  <c r="AP29" i="11"/>
  <c r="AO31" i="11"/>
  <c r="AP31" i="11"/>
  <c r="C31" i="11" s="1" a="1"/>
  <c r="C31" i="11" s="1"/>
  <c r="AO33" i="11"/>
  <c r="AP33" i="11"/>
  <c r="AO35" i="11"/>
  <c r="AP35" i="11"/>
  <c r="C35" i="11" s="1" a="1"/>
  <c r="C35" i="11" s="1"/>
  <c r="AO37" i="11"/>
  <c r="C37" i="11" s="1" a="1"/>
  <c r="C37" i="11" s="1"/>
  <c r="AP37" i="11"/>
  <c r="AO39" i="11"/>
  <c r="C39" i="11" s="1" a="1"/>
  <c r="C39" i="11" s="1"/>
  <c r="AP39" i="11"/>
  <c r="AO41" i="11"/>
  <c r="AP41" i="11"/>
  <c r="C41" i="11" s="1" a="1"/>
  <c r="C41" i="11" s="1"/>
  <c r="AR34" i="10"/>
  <c r="AS34" i="10"/>
  <c r="AR28" i="10"/>
  <c r="AS28" i="10"/>
  <c r="AR36" i="10"/>
  <c r="AS36" i="10"/>
  <c r="U32" i="10"/>
  <c r="BO26" i="10"/>
  <c r="BE40" i="10"/>
  <c r="U34" i="10"/>
  <c r="U40" i="10"/>
  <c r="U28" i="10"/>
  <c r="U30" i="10"/>
  <c r="BO36" i="10"/>
  <c r="Z40" i="10"/>
  <c r="U38" i="10"/>
  <c r="BI26" i="10"/>
  <c r="Z27" i="10"/>
  <c r="BE27" i="10"/>
  <c r="BI28" i="10"/>
  <c r="Z29" i="10"/>
  <c r="BE29" i="10"/>
  <c r="BI30" i="10"/>
  <c r="Z31" i="10"/>
  <c r="BE31" i="10"/>
  <c r="BI32" i="10"/>
  <c r="Z33" i="10"/>
  <c r="BE33" i="10"/>
  <c r="BI34" i="10"/>
  <c r="Z35" i="10"/>
  <c r="BE35" i="10"/>
  <c r="BI36" i="10"/>
  <c r="Z37" i="10"/>
  <c r="BE37" i="10"/>
  <c r="BI38" i="10"/>
  <c r="Z39" i="10"/>
  <c r="BE39" i="10"/>
  <c r="BO27" i="10"/>
  <c r="BO29" i="10"/>
  <c r="BO31" i="10"/>
  <c r="BO33" i="10"/>
  <c r="BO35" i="10"/>
  <c r="BO37" i="10"/>
  <c r="BO39" i="10"/>
  <c r="BE26" i="10"/>
  <c r="BI27" i="10"/>
  <c r="Z28" i="10"/>
  <c r="BE28" i="10"/>
  <c r="Z30" i="10"/>
  <c r="Z32" i="10"/>
  <c r="Z34" i="10"/>
  <c r="Z36" i="10"/>
  <c r="C36" i="10" s="1" a="1"/>
  <c r="C36" i="10" s="1"/>
  <c r="Z38" i="10"/>
  <c r="C40" i="11" l="1" a="1"/>
  <c r="C40" i="11" s="1"/>
  <c r="AX40" i="11" s="1"/>
  <c r="C33" i="11" a="1"/>
  <c r="C33" i="11" s="1"/>
  <c r="AU33" i="11" s="1"/>
  <c r="C30" i="11" a="1"/>
  <c r="C30" i="11" s="1"/>
  <c r="AZ30" i="11" s="1"/>
  <c r="C29" i="10" a="1"/>
  <c r="C29" i="10" s="1"/>
  <c r="BF29" i="10" s="1"/>
  <c r="C33" i="10" a="1"/>
  <c r="C33" i="10" s="1"/>
  <c r="BC33" i="10" s="1"/>
  <c r="C30" i="10" a="1"/>
  <c r="C30" i="10" s="1"/>
  <c r="AV30" i="10" s="1" a="1"/>
  <c r="AV30" i="10" s="1"/>
  <c r="C39" i="10" a="1"/>
  <c r="C39" i="10" s="1"/>
  <c r="AV39" i="10" s="1" a="1"/>
  <c r="AV39" i="10" s="1"/>
  <c r="C35" i="10" a="1"/>
  <c r="C35" i="10" s="1"/>
  <c r="BC35" i="10" s="1"/>
  <c r="C27" i="10" a="1"/>
  <c r="C27" i="10" s="1"/>
  <c r="AV27" i="10" s="1" a="1"/>
  <c r="AV27" i="10" s="1"/>
  <c r="AW27" i="11"/>
  <c r="AZ27" i="11"/>
  <c r="BA27" i="11"/>
  <c r="AV27" i="11"/>
  <c r="AX27" i="11"/>
  <c r="AY27" i="11"/>
  <c r="AT27" i="11" a="1"/>
  <c r="AT27" i="11" s="1"/>
  <c r="AV34" i="11"/>
  <c r="AX34" i="11"/>
  <c r="AY34" i="11"/>
  <c r="BA34" i="11"/>
  <c r="AZ34" i="11"/>
  <c r="AU34" i="11"/>
  <c r="AW34" i="11"/>
  <c r="AT34" i="11" a="1"/>
  <c r="AT34" i="11" s="1"/>
  <c r="C32" i="10" a="1"/>
  <c r="C32" i="10" s="1"/>
  <c r="BG32" i="10" s="1"/>
  <c r="C34" i="10" a="1"/>
  <c r="C34" i="10" s="1"/>
  <c r="AY34" i="10" s="1"/>
  <c r="C28" i="10" a="1"/>
  <c r="C28" i="10" s="1"/>
  <c r="BF28" i="10" s="1"/>
  <c r="C31" i="10" a="1"/>
  <c r="C31" i="10" s="1"/>
  <c r="AV31" i="10" s="1" a="1"/>
  <c r="AV31" i="10" s="1"/>
  <c r="C37" i="10" a="1"/>
  <c r="C37" i="10" s="1"/>
  <c r="BA37" i="10" s="1"/>
  <c r="C38" i="10" a="1"/>
  <c r="C38" i="10" s="1"/>
  <c r="AY38" i="10" s="1"/>
  <c r="C40" i="10" a="1"/>
  <c r="C40" i="10" s="1"/>
  <c r="AV40" i="10" s="1" a="1"/>
  <c r="AV40" i="10" s="1"/>
  <c r="AU41" i="11"/>
  <c r="BA41" i="11"/>
  <c r="AT41" i="11" a="1"/>
  <c r="AT41" i="11" s="1"/>
  <c r="AW41" i="11"/>
  <c r="AV41" i="11"/>
  <c r="AZ41" i="11"/>
  <c r="AX41" i="11"/>
  <c r="AY41" i="11"/>
  <c r="BA39" i="11"/>
  <c r="AT39" i="11" a="1"/>
  <c r="AT39" i="11" s="1"/>
  <c r="AV39" i="11"/>
  <c r="AZ39" i="11"/>
  <c r="AU39" i="11"/>
  <c r="AY39" i="11"/>
  <c r="AX39" i="11"/>
  <c r="AW39" i="11"/>
  <c r="AZ38" i="11"/>
  <c r="AU38" i="11"/>
  <c r="AY38" i="11"/>
  <c r="BA38" i="11"/>
  <c r="AT38" i="11" a="1"/>
  <c r="AT38" i="11" s="1"/>
  <c r="AX38" i="11"/>
  <c r="AW38" i="11"/>
  <c r="AV38" i="11"/>
  <c r="BA31" i="11"/>
  <c r="AT31" i="11" a="1"/>
  <c r="AT31" i="11" s="1"/>
  <c r="AU31" i="11"/>
  <c r="AZ31" i="11"/>
  <c r="AY31" i="11"/>
  <c r="AW31" i="11"/>
  <c r="AX31" i="11"/>
  <c r="AV31" i="11"/>
  <c r="AY37" i="11"/>
  <c r="BA37" i="11"/>
  <c r="AX37" i="11"/>
  <c r="AW37" i="11"/>
  <c r="AT37" i="11" a="1"/>
  <c r="AT37" i="11" s="1"/>
  <c r="AZ37" i="11"/>
  <c r="AV37" i="11"/>
  <c r="AU37" i="11"/>
  <c r="AZ32" i="11"/>
  <c r="BA32" i="11"/>
  <c r="AT32" i="11" a="1"/>
  <c r="AT32" i="11" s="1"/>
  <c r="AV32" i="11"/>
  <c r="AX32" i="11"/>
  <c r="AY32" i="11"/>
  <c r="AW32" i="11"/>
  <c r="AU32" i="11"/>
  <c r="AW35" i="11"/>
  <c r="AV35" i="11"/>
  <c r="BA35" i="11"/>
  <c r="AY35" i="11"/>
  <c r="AU35" i="11"/>
  <c r="AX35" i="11"/>
  <c r="AZ35" i="11"/>
  <c r="AT35" i="11" a="1"/>
  <c r="AT35" i="11" s="1"/>
  <c r="AX28" i="11"/>
  <c r="AV28" i="11"/>
  <c r="BA28" i="11"/>
  <c r="AZ28" i="11"/>
  <c r="AW28" i="11"/>
  <c r="AY28" i="11"/>
  <c r="AU28" i="11"/>
  <c r="AT28" i="11" a="1"/>
  <c r="AT28" i="11" s="1"/>
  <c r="AX36" i="11"/>
  <c r="AT36" i="11" a="1"/>
  <c r="AT36" i="11" s="1"/>
  <c r="AW36" i="11"/>
  <c r="AZ36" i="11"/>
  <c r="AV36" i="11"/>
  <c r="AU36" i="11"/>
  <c r="BA36" i="11"/>
  <c r="AY36" i="11"/>
  <c r="AY29" i="11"/>
  <c r="AX29" i="11"/>
  <c r="AW29" i="11"/>
  <c r="BA29" i="11"/>
  <c r="AZ29" i="11"/>
  <c r="AV29" i="11"/>
  <c r="AU29" i="11"/>
  <c r="AT29" i="11" a="1"/>
  <c r="AT29" i="11" s="1"/>
  <c r="BG36" i="10"/>
  <c r="AY36" i="10"/>
  <c r="BF36" i="10"/>
  <c r="AX36" i="10"/>
  <c r="AW36" i="10"/>
  <c r="BD36" i="10"/>
  <c r="BC36" i="10"/>
  <c r="AV36" i="10" a="1"/>
  <c r="AV36" i="10" s="1"/>
  <c r="BB36" i="10"/>
  <c r="BH36" i="10"/>
  <c r="AZ36" i="10"/>
  <c r="BA36" i="10"/>
  <c r="AY26" i="10"/>
  <c r="BF26" i="10"/>
  <c r="AX26" i="10"/>
  <c r="AW26" i="10"/>
  <c r="BC26" i="10"/>
  <c r="BG26" i="10"/>
  <c r="BD26" i="10"/>
  <c r="AZ26" i="10"/>
  <c r="BB26" i="10"/>
  <c r="BA26" i="10"/>
  <c r="BH26" i="10"/>
  <c r="P17" i="8" a="1"/>
  <c r="P17" i="8" s="1"/>
  <c r="N17" i="8" a="1"/>
  <c r="N17" i="8" s="1"/>
  <c r="P16" i="8" a="1"/>
  <c r="P16" i="8" s="1"/>
  <c r="N16" i="8" a="1"/>
  <c r="N16" i="8" s="1"/>
  <c r="C21" i="5" a="1"/>
  <c r="C21" i="5" s="1"/>
  <c r="O21" i="5" s="1" a="1"/>
  <c r="O21" i="5" s="1"/>
  <c r="C20" i="5" a="1"/>
  <c r="C20" i="5" s="1"/>
  <c r="O20" i="5" s="1" a="1"/>
  <c r="O20" i="5" s="1"/>
  <c r="C19" i="5" a="1"/>
  <c r="C19" i="5" s="1"/>
  <c r="O19" i="5" s="1" a="1"/>
  <c r="O19" i="5" s="1"/>
  <c r="BD26" i="11"/>
  <c r="BB26" i="11"/>
  <c r="AM26" i="11"/>
  <c r="T26" i="11"/>
  <c r="S26" i="11"/>
  <c r="O26" i="11"/>
  <c r="N26" i="11"/>
  <c r="I26" i="11"/>
  <c r="BD25" i="11"/>
  <c r="BB25" i="11"/>
  <c r="AM25" i="11"/>
  <c r="T25" i="11"/>
  <c r="S25" i="11"/>
  <c r="O25" i="11"/>
  <c r="N25" i="11"/>
  <c r="I25" i="11"/>
  <c r="BD24" i="11"/>
  <c r="BB24" i="11"/>
  <c r="AM24" i="11"/>
  <c r="T24" i="11"/>
  <c r="S24" i="11"/>
  <c r="O24" i="11"/>
  <c r="N24" i="11"/>
  <c r="I24" i="11"/>
  <c r="BD23" i="11"/>
  <c r="BB23" i="11"/>
  <c r="AM23" i="11"/>
  <c r="T23" i="11"/>
  <c r="S23" i="11"/>
  <c r="O23" i="11"/>
  <c r="N23" i="11"/>
  <c r="I23" i="11"/>
  <c r="BD22" i="11"/>
  <c r="BB22" i="11"/>
  <c r="AM22" i="11"/>
  <c r="T22" i="11"/>
  <c r="S22" i="11"/>
  <c r="O22" i="11"/>
  <c r="N22" i="11"/>
  <c r="I22" i="11"/>
  <c r="AY29" i="10" l="1"/>
  <c r="AW40" i="11"/>
  <c r="AT40" i="11" a="1"/>
  <c r="AT40" i="11" s="1"/>
  <c r="BC29" i="10"/>
  <c r="AV40" i="11"/>
  <c r="AY40" i="11"/>
  <c r="AZ40" i="11"/>
  <c r="BG29" i="10"/>
  <c r="AZ29" i="10"/>
  <c r="BH29" i="10"/>
  <c r="BD29" i="10"/>
  <c r="BA29" i="10"/>
  <c r="BA30" i="11"/>
  <c r="AV33" i="11"/>
  <c r="BA40" i="11"/>
  <c r="BB29" i="10"/>
  <c r="AW33" i="11"/>
  <c r="AZ33" i="10"/>
  <c r="AT30" i="11" a="1"/>
  <c r="AT30" i="11" s="1"/>
  <c r="BA33" i="11"/>
  <c r="AT33" i="11" a="1"/>
  <c r="AT33" i="11" s="1"/>
  <c r="BA33" i="10"/>
  <c r="AY33" i="11"/>
  <c r="AU30" i="11"/>
  <c r="BD33" i="10"/>
  <c r="AV30" i="11"/>
  <c r="AX33" i="11"/>
  <c r="AX33" i="10"/>
  <c r="AW30" i="11"/>
  <c r="AZ33" i="11"/>
  <c r="AY33" i="10"/>
  <c r="AX30" i="11"/>
  <c r="AV29" i="10" a="1"/>
  <c r="AV29" i="10" s="1"/>
  <c r="AY30" i="11"/>
  <c r="AW29" i="10"/>
  <c r="AV33" i="10" a="1"/>
  <c r="AV33" i="10" s="1"/>
  <c r="AX29" i="10"/>
  <c r="AU40" i="11"/>
  <c r="BC39" i="10"/>
  <c r="AW33" i="10"/>
  <c r="BF33" i="10"/>
  <c r="BG33" i="10"/>
  <c r="BH33" i="10"/>
  <c r="BB33" i="10"/>
  <c r="AO26" i="11"/>
  <c r="C26" i="11" s="1" a="1"/>
  <c r="C26" i="11" s="1"/>
  <c r="AZ26" i="11" s="1"/>
  <c r="AP26" i="11"/>
  <c r="AO23" i="11"/>
  <c r="AP23" i="11"/>
  <c r="AO24" i="11"/>
  <c r="AP24" i="11"/>
  <c r="C24" i="11" s="1" a="1"/>
  <c r="C24" i="11" s="1"/>
  <c r="AZ24" i="11" s="1"/>
  <c r="AO25" i="11"/>
  <c r="AP25" i="11"/>
  <c r="AO22" i="11"/>
  <c r="C22" i="11" s="1" a="1"/>
  <c r="C22" i="11" s="1"/>
  <c r="AP22" i="11"/>
  <c r="BF34" i="10"/>
  <c r="BH27" i="10"/>
  <c r="BF39" i="10"/>
  <c r="AV35" i="10" a="1"/>
  <c r="AV35" i="10" s="1"/>
  <c r="AX27" i="10"/>
  <c r="BB27" i="10"/>
  <c r="BH39" i="10"/>
  <c r="AW27" i="10"/>
  <c r="AY27" i="10"/>
  <c r="BC27" i="10"/>
  <c r="AW39" i="10"/>
  <c r="BG39" i="10"/>
  <c r="BB39" i="10"/>
  <c r="AX35" i="10"/>
  <c r="AZ35" i="10"/>
  <c r="BA30" i="10"/>
  <c r="BD30" i="10"/>
  <c r="BF30" i="10"/>
  <c r="BD35" i="10"/>
  <c r="AY35" i="10"/>
  <c r="BA35" i="10"/>
  <c r="AY30" i="10"/>
  <c r="BC30" i="10"/>
  <c r="AW30" i="10"/>
  <c r="AW35" i="10"/>
  <c r="BF35" i="10"/>
  <c r="BG35" i="10"/>
  <c r="BH35" i="10"/>
  <c r="BB35" i="10"/>
  <c r="BH30" i="10"/>
  <c r="BB30" i="10"/>
  <c r="BG30" i="10"/>
  <c r="AZ30" i="10"/>
  <c r="AX30" i="10"/>
  <c r="BD27" i="10"/>
  <c r="BF27" i="10"/>
  <c r="AZ27" i="10"/>
  <c r="BG27" i="10"/>
  <c r="BA27" i="10"/>
  <c r="BD39" i="10"/>
  <c r="AX39" i="10"/>
  <c r="AY39" i="10"/>
  <c r="AZ39" i="10"/>
  <c r="BA39" i="10"/>
  <c r="BD32" i="10"/>
  <c r="AV32" i="10" a="1"/>
  <c r="AV32" i="10" s="1"/>
  <c r="AX32" i="10"/>
  <c r="AZ34" i="10"/>
  <c r="AZ31" i="10"/>
  <c r="BC34" i="10"/>
  <c r="AX31" i="10"/>
  <c r="BB31" i="10"/>
  <c r="BB34" i="10"/>
  <c r="AW34" i="10"/>
  <c r="BG34" i="10"/>
  <c r="AY31" i="10"/>
  <c r="BD31" i="10"/>
  <c r="BC31" i="10"/>
  <c r="BA32" i="10"/>
  <c r="AW32" i="10"/>
  <c r="AY32" i="10"/>
  <c r="BA34" i="10"/>
  <c r="BH34" i="10"/>
  <c r="AV34" i="10" a="1"/>
  <c r="AV34" i="10" s="1"/>
  <c r="BD34" i="10"/>
  <c r="AX34" i="10"/>
  <c r="AW31" i="10"/>
  <c r="BF31" i="10"/>
  <c r="BG31" i="10"/>
  <c r="BH31" i="10"/>
  <c r="BA31" i="10"/>
  <c r="AZ32" i="10"/>
  <c r="BB32" i="10"/>
  <c r="BC32" i="10"/>
  <c r="BH32" i="10"/>
  <c r="BF32" i="10"/>
  <c r="AZ28" i="10"/>
  <c r="AV28" i="10" a="1"/>
  <c r="AV28" i="10" s="1"/>
  <c r="BC28" i="10"/>
  <c r="BA28" i="10"/>
  <c r="AY28" i="10"/>
  <c r="AX28" i="10"/>
  <c r="BH28" i="10"/>
  <c r="BG28" i="10"/>
  <c r="BB28" i="10"/>
  <c r="BD28" i="10"/>
  <c r="AW28" i="10"/>
  <c r="BH40" i="10"/>
  <c r="BF38" i="10"/>
  <c r="BF40" i="10"/>
  <c r="BD38" i="10"/>
  <c r="AW40" i="10"/>
  <c r="AZ40" i="10"/>
  <c r="AY40" i="10"/>
  <c r="BA40" i="10"/>
  <c r="BC40" i="10"/>
  <c r="BD40" i="10"/>
  <c r="AX40" i="10"/>
  <c r="AY37" i="10"/>
  <c r="AX38" i="10"/>
  <c r="BB37" i="10"/>
  <c r="AX37" i="10"/>
  <c r="AV37" i="10" a="1"/>
  <c r="AV37" i="10" s="1"/>
  <c r="BH38" i="10"/>
  <c r="BB40" i="10"/>
  <c r="BG40" i="10"/>
  <c r="AV38" i="10" a="1"/>
  <c r="AV38" i="10" s="1"/>
  <c r="AW37" i="10"/>
  <c r="AZ38" i="10"/>
  <c r="BG38" i="10"/>
  <c r="BF37" i="10"/>
  <c r="BC37" i="10"/>
  <c r="BB38" i="10"/>
  <c r="BG37" i="10"/>
  <c r="AZ37" i="10"/>
  <c r="BC38" i="10"/>
  <c r="BH37" i="10"/>
  <c r="BD37" i="10"/>
  <c r="AW38" i="10"/>
  <c r="BA38" i="10"/>
  <c r="C23" i="11" a="1"/>
  <c r="C23" i="11" s="1"/>
  <c r="BL25" i="10"/>
  <c r="BI25" i="10" s="1"/>
  <c r="BJ25" i="10"/>
  <c r="BL24" i="10"/>
  <c r="BE24" i="10" s="1"/>
  <c r="BJ24" i="10"/>
  <c r="AP25" i="10"/>
  <c r="AP24" i="10"/>
  <c r="V24" i="10"/>
  <c r="X24" i="10" s="1"/>
  <c r="BP24" i="10" s="1"/>
  <c r="V25" i="10"/>
  <c r="X25" i="10" s="1"/>
  <c r="BP25" i="10" s="1"/>
  <c r="U113" i="10"/>
  <c r="V113" i="10"/>
  <c r="U114" i="10"/>
  <c r="V114" i="10"/>
  <c r="U115" i="10"/>
  <c r="V115" i="10"/>
  <c r="U116" i="10"/>
  <c r="V116" i="10"/>
  <c r="S25" i="10"/>
  <c r="U25" i="10" s="1"/>
  <c r="S24" i="10"/>
  <c r="BO24" i="10" s="1"/>
  <c r="P25" i="10"/>
  <c r="P24" i="10"/>
  <c r="N25" i="10"/>
  <c r="N24" i="10"/>
  <c r="H25" i="10"/>
  <c r="H24" i="10"/>
  <c r="T17" i="1"/>
  <c r="P3" i="1"/>
  <c r="P2" i="1" s="1"/>
  <c r="V21" i="10"/>
  <c r="V22" i="10"/>
  <c r="C25" i="11" l="1" a="1"/>
  <c r="C25" i="11" s="1"/>
  <c r="AV25" i="11" s="1"/>
  <c r="AR25" i="10"/>
  <c r="AS25" i="10"/>
  <c r="AR24" i="10"/>
  <c r="AS24" i="10"/>
  <c r="AV24" i="11"/>
  <c r="AU24" i="11"/>
  <c r="AX24" i="11"/>
  <c r="AV26" i="11"/>
  <c r="AY24" i="11"/>
  <c r="AT24" i="11" a="1"/>
  <c r="AT24" i="11" s="1"/>
  <c r="AW24" i="11"/>
  <c r="AW26" i="11"/>
  <c r="AT26" i="11" a="1"/>
  <c r="AT26" i="11" s="1"/>
  <c r="AU26" i="11"/>
  <c r="BA24" i="11"/>
  <c r="AW22" i="11"/>
  <c r="AV22" i="11"/>
  <c r="AZ22" i="11"/>
  <c r="AT22" i="11" a="1"/>
  <c r="AT22" i="11" s="1"/>
  <c r="BA22" i="11"/>
  <c r="AU22" i="11"/>
  <c r="AX22" i="11"/>
  <c r="AY22" i="11"/>
  <c r="BA26" i="11"/>
  <c r="AX26" i="11"/>
  <c r="AY26" i="11"/>
  <c r="BI24" i="10"/>
  <c r="Z24" i="10"/>
  <c r="BA23" i="11"/>
  <c r="AT23" i="11" a="1"/>
  <c r="AT23" i="11" s="1"/>
  <c r="AZ23" i="11"/>
  <c r="AY23" i="11"/>
  <c r="AX23" i="11"/>
  <c r="AW23" i="11"/>
  <c r="AV23" i="11"/>
  <c r="AU23" i="11"/>
  <c r="BE25" i="10"/>
  <c r="BO25" i="10"/>
  <c r="Z25" i="10"/>
  <c r="U24" i="10"/>
  <c r="AT25" i="11" l="1" a="1"/>
  <c r="AT25" i="11" s="1"/>
  <c r="AU25" i="11"/>
  <c r="AY25" i="11"/>
  <c r="AZ25" i="11"/>
  <c r="BA25" i="11"/>
  <c r="AW25" i="11"/>
  <c r="AX25" i="11"/>
  <c r="C25" i="10" a="1"/>
  <c r="C25" i="10" s="1"/>
  <c r="BA25" i="10" s="1"/>
  <c r="C24" i="10" a="1"/>
  <c r="C24" i="10" s="1"/>
  <c r="BD24" i="10" s="1"/>
  <c r="P12" i="10"/>
  <c r="P13" i="10"/>
  <c r="P14" i="10"/>
  <c r="P15" i="10"/>
  <c r="P16" i="10"/>
  <c r="P17" i="10"/>
  <c r="P18" i="10"/>
  <c r="P19" i="10"/>
  <c r="P20" i="10"/>
  <c r="P21" i="10"/>
  <c r="P22" i="10"/>
  <c r="P23" i="10"/>
  <c r="BF25" i="10" l="1"/>
  <c r="BG25" i="10"/>
  <c r="BB25" i="10"/>
  <c r="AY25" i="10"/>
  <c r="AV25" i="10" a="1"/>
  <c r="AV25" i="10" s="1"/>
  <c r="BD25" i="10"/>
  <c r="AZ25" i="10"/>
  <c r="BC25" i="10"/>
  <c r="AW25" i="10"/>
  <c r="BH25" i="10"/>
  <c r="AX25" i="10"/>
  <c r="BG24" i="10"/>
  <c r="BH24" i="10"/>
  <c r="AW24" i="10"/>
  <c r="AV24" i="10" a="1"/>
  <c r="AV24" i="10" s="1"/>
  <c r="AY24" i="10"/>
  <c r="BA24" i="10"/>
  <c r="AX24" i="10"/>
  <c r="BB24" i="10"/>
  <c r="BF24" i="10"/>
  <c r="AZ24" i="10"/>
  <c r="BC24" i="10"/>
  <c r="S21" i="10" l="1"/>
  <c r="AM13" i="11" l="1"/>
  <c r="AM14" i="11"/>
  <c r="AM15" i="11"/>
  <c r="AM16" i="11"/>
  <c r="AM17" i="11"/>
  <c r="AM18" i="11"/>
  <c r="AM19" i="11"/>
  <c r="AM20" i="11"/>
  <c r="AM21" i="11"/>
  <c r="AM12" i="11"/>
  <c r="AP12" i="10"/>
  <c r="AP13" i="10"/>
  <c r="AP14" i="10"/>
  <c r="AP15" i="10"/>
  <c r="AP16" i="10"/>
  <c r="AP17" i="10"/>
  <c r="AP18" i="10"/>
  <c r="AP19" i="10"/>
  <c r="AP20" i="10"/>
  <c r="AP21" i="10"/>
  <c r="AP22" i="10"/>
  <c r="AP23" i="10"/>
  <c r="S12" i="10"/>
  <c r="BO12" i="10" s="1"/>
  <c r="S13" i="10"/>
  <c r="BO13" i="10" s="1"/>
  <c r="S14" i="10"/>
  <c r="BO14" i="10" s="1"/>
  <c r="S15" i="10"/>
  <c r="BO15" i="10" s="1"/>
  <c r="S16" i="10"/>
  <c r="BO16" i="10" s="1"/>
  <c r="S17" i="10"/>
  <c r="BO17" i="10" s="1"/>
  <c r="S18" i="10"/>
  <c r="BO18" i="10" s="1"/>
  <c r="S19" i="10"/>
  <c r="BO19" i="10" s="1"/>
  <c r="S20" i="10"/>
  <c r="BO20" i="10" s="1"/>
  <c r="S22" i="10"/>
  <c r="BO22" i="10" s="1"/>
  <c r="S23" i="10"/>
  <c r="T13" i="11"/>
  <c r="T14" i="11"/>
  <c r="T15" i="11"/>
  <c r="T16" i="11"/>
  <c r="T17" i="11"/>
  <c r="T18" i="11"/>
  <c r="T19" i="11"/>
  <c r="T20" i="11"/>
  <c r="T21" i="11"/>
  <c r="T12" i="11"/>
  <c r="V12" i="10"/>
  <c r="X12" i="10" s="1"/>
  <c r="BP12" i="10" s="1"/>
  <c r="V13" i="10"/>
  <c r="X13" i="10" s="1"/>
  <c r="BP13" i="10" s="1"/>
  <c r="V14" i="10"/>
  <c r="X14" i="10" s="1"/>
  <c r="BP14" i="10" s="1"/>
  <c r="V15" i="10"/>
  <c r="X15" i="10" s="1"/>
  <c r="BP15" i="10" s="1"/>
  <c r="V16" i="10"/>
  <c r="X16" i="10" s="1"/>
  <c r="BP16" i="10" s="1"/>
  <c r="V17" i="10"/>
  <c r="X17" i="10" s="1"/>
  <c r="BP17" i="10" s="1"/>
  <c r="V18" i="10"/>
  <c r="X18" i="10" s="1"/>
  <c r="BP18" i="10" s="1"/>
  <c r="V19" i="10"/>
  <c r="X19" i="10" s="1"/>
  <c r="BP19" i="10" s="1"/>
  <c r="V20" i="10"/>
  <c r="X20" i="10" s="1"/>
  <c r="BP20" i="10" s="1"/>
  <c r="X21" i="10"/>
  <c r="X22" i="10"/>
  <c r="BP22" i="10" s="1"/>
  <c r="V23" i="10"/>
  <c r="X23" i="10" s="1"/>
  <c r="BP23" i="10" s="1"/>
  <c r="AR17" i="10" l="1"/>
  <c r="AS17" i="10"/>
  <c r="AR16" i="10"/>
  <c r="AS16" i="10" s="1"/>
  <c r="AR15" i="10"/>
  <c r="AS15" i="10" s="1"/>
  <c r="AR14" i="10"/>
  <c r="AS14" i="10" s="1"/>
  <c r="AR13" i="10"/>
  <c r="AS13" i="10" s="1"/>
  <c r="AR12" i="10"/>
  <c r="AS12" i="10" s="1"/>
  <c r="AP12" i="11"/>
  <c r="AO12" i="11"/>
  <c r="AO21" i="11"/>
  <c r="AP21" i="11"/>
  <c r="AO19" i="11"/>
  <c r="AP19" i="11"/>
  <c r="AR23" i="10"/>
  <c r="AS23" i="10"/>
  <c r="AO18" i="11"/>
  <c r="AP18" i="11"/>
  <c r="AO17" i="11"/>
  <c r="AP17" i="11"/>
  <c r="AR22" i="10"/>
  <c r="AS22" i="10"/>
  <c r="AO15" i="11"/>
  <c r="AP15" i="11"/>
  <c r="AR21" i="10"/>
  <c r="AS21" i="10"/>
  <c r="AR19" i="10"/>
  <c r="AS19" i="10"/>
  <c r="AO14" i="11"/>
  <c r="AP14" i="11"/>
  <c r="AO20" i="11"/>
  <c r="AP20" i="11"/>
  <c r="AO16" i="11"/>
  <c r="AP16" i="11"/>
  <c r="AR20" i="10"/>
  <c r="AS20" i="10"/>
  <c r="AR18" i="10"/>
  <c r="AS18" i="10"/>
  <c r="AO13" i="11"/>
  <c r="AP13" i="11"/>
  <c r="V27" i="8" l="1" a="1"/>
  <c r="V27" i="8" s="1"/>
  <c r="T27" i="8" a="1"/>
  <c r="T27" i="8" s="1"/>
  <c r="R27" i="8" a="1"/>
  <c r="R27" i="8" s="1"/>
  <c r="P27" i="8" a="1"/>
  <c r="P27" i="8" s="1"/>
  <c r="X27" i="8" a="1"/>
  <c r="X27" i="8" s="1"/>
  <c r="Z27" i="8" a="1"/>
  <c r="Z27" i="8" s="1"/>
  <c r="BB13" i="11"/>
  <c r="BB14" i="11"/>
  <c r="BB15" i="11"/>
  <c r="BB16" i="11"/>
  <c r="BB17" i="11"/>
  <c r="BB18" i="11"/>
  <c r="BB19" i="11"/>
  <c r="BB20" i="11"/>
  <c r="BB21" i="11"/>
  <c r="BB12" i="11"/>
  <c r="S20" i="11"/>
  <c r="S21" i="11"/>
  <c r="O13" i="11"/>
  <c r="O14" i="11"/>
  <c r="O15" i="11"/>
  <c r="O16" i="11"/>
  <c r="O17" i="11"/>
  <c r="O18" i="11"/>
  <c r="O19" i="11"/>
  <c r="O20" i="11"/>
  <c r="O21" i="11"/>
  <c r="O12" i="11"/>
  <c r="N13" i="11"/>
  <c r="N14" i="11"/>
  <c r="N15" i="11"/>
  <c r="N16" i="11"/>
  <c r="N17" i="11"/>
  <c r="N18" i="11"/>
  <c r="N19" i="11"/>
  <c r="N20" i="11"/>
  <c r="N21" i="11"/>
  <c r="N12" i="11"/>
  <c r="BB4" i="11" l="1"/>
  <c r="BB3" i="11" s="1"/>
  <c r="BJ13" i="10"/>
  <c r="BJ14" i="10"/>
  <c r="BJ15" i="10"/>
  <c r="BJ16" i="10"/>
  <c r="BJ17" i="10"/>
  <c r="BJ18" i="10"/>
  <c r="BJ19" i="10"/>
  <c r="BJ20" i="10"/>
  <c r="BJ21" i="10"/>
  <c r="BJ22" i="10"/>
  <c r="BJ23" i="10"/>
  <c r="BJ12" i="10"/>
  <c r="O23" i="1"/>
  <c r="O3" i="1" s="1"/>
  <c r="O2" i="1" s="1"/>
  <c r="N12" i="10"/>
  <c r="N13" i="10"/>
  <c r="N16" i="10"/>
  <c r="N17" i="10"/>
  <c r="N18" i="10"/>
  <c r="N19" i="10"/>
  <c r="N20" i="10"/>
  <c r="N21" i="10"/>
  <c r="N22" i="10"/>
  <c r="N23" i="10"/>
  <c r="N14" i="10"/>
  <c r="N15" i="10"/>
  <c r="BJ4" i="10" l="1"/>
  <c r="BJ3" i="10" s="1"/>
  <c r="H12" i="10"/>
  <c r="H13" i="10"/>
  <c r="H14" i="10"/>
  <c r="H15" i="10"/>
  <c r="H16" i="10"/>
  <c r="H17" i="10"/>
  <c r="H18" i="10"/>
  <c r="H19" i="10"/>
  <c r="H20" i="10"/>
  <c r="H21" i="10"/>
  <c r="H22" i="10"/>
  <c r="H23" i="10"/>
  <c r="S12" i="11"/>
  <c r="I13" i="11"/>
  <c r="S13" i="11"/>
  <c r="I14" i="11"/>
  <c r="S14" i="11"/>
  <c r="I15" i="11"/>
  <c r="S15" i="11"/>
  <c r="I16" i="11"/>
  <c r="S16" i="11"/>
  <c r="I17" i="11"/>
  <c r="S17" i="11"/>
  <c r="I18" i="11"/>
  <c r="S18" i="11"/>
  <c r="I19" i="11"/>
  <c r="S19" i="11"/>
  <c r="N27" i="8" l="1"/>
  <c r="E27" i="8" s="1"/>
  <c r="F27" i="8" l="1"/>
  <c r="BL12" i="10"/>
  <c r="BL13" i="10"/>
  <c r="BL14" i="10"/>
  <c r="BL15" i="10"/>
  <c r="BL16" i="10"/>
  <c r="BL17" i="10"/>
  <c r="BL18" i="10"/>
  <c r="BL19" i="10"/>
  <c r="BL20" i="10"/>
  <c r="BL21" i="10"/>
  <c r="Z21" i="10" s="1"/>
  <c r="BL22" i="10"/>
  <c r="Z22" i="10" s="1"/>
  <c r="BL23" i="10"/>
  <c r="BO23" i="10" s="1"/>
  <c r="N23" i="1"/>
  <c r="N22" i="1"/>
  <c r="N16" i="1"/>
  <c r="N15" i="1"/>
  <c r="N14" i="1"/>
  <c r="N9" i="1"/>
  <c r="N7" i="1"/>
  <c r="V26" i="8" l="1" a="1"/>
  <c r="V26" i="8" s="1"/>
  <c r="R25" i="8" a="1"/>
  <c r="R25" i="8" s="1"/>
  <c r="P10" i="8" a="1"/>
  <c r="P10" i="8" s="1"/>
  <c r="Z10" i="8" s="1" a="1"/>
  <c r="Z10" i="8" s="1"/>
  <c r="T26" i="8" a="1"/>
  <c r="T26" i="8" s="1"/>
  <c r="P25" i="8" a="1"/>
  <c r="P25" i="8" s="1"/>
  <c r="N10" i="8" a="1"/>
  <c r="N10" i="8" s="1"/>
  <c r="R26" i="8" a="1"/>
  <c r="R26" i="8" s="1"/>
  <c r="P11" i="8" a="1"/>
  <c r="P11" i="8" s="1"/>
  <c r="Z11" i="8" s="1" a="1"/>
  <c r="Z11" i="8" s="1"/>
  <c r="N9" i="8" a="1"/>
  <c r="N9" i="8" s="1"/>
  <c r="N8" i="8" a="1"/>
  <c r="N8" i="8" s="1"/>
  <c r="P26" i="8" a="1"/>
  <c r="P26" i="8" s="1"/>
  <c r="N11" i="8" a="1"/>
  <c r="N11" i="8" s="1"/>
  <c r="X11" i="8" s="1" a="1"/>
  <c r="X11" i="8" s="1"/>
  <c r="Z25" i="8" a="1"/>
  <c r="Z25" i="8" s="1"/>
  <c r="X25" i="8" a="1"/>
  <c r="X25" i="8" s="1"/>
  <c r="Z26" i="8" a="1"/>
  <c r="Z26" i="8" s="1"/>
  <c r="V25" i="8" a="1"/>
  <c r="V25" i="8" s="1"/>
  <c r="X26" i="8" a="1"/>
  <c r="X26" i="8" s="1"/>
  <c r="T25" i="8" a="1"/>
  <c r="T25" i="8" s="1"/>
  <c r="BO21" i="10"/>
  <c r="BP21" i="10"/>
  <c r="N4" i="1"/>
  <c r="N3" i="1" s="1"/>
  <c r="N2" i="1" s="1"/>
  <c r="Z13" i="10"/>
  <c r="Z17" i="10"/>
  <c r="Z16" i="10"/>
  <c r="Z14" i="10"/>
  <c r="Z23" i="10"/>
  <c r="Z15" i="10"/>
  <c r="BI21" i="10"/>
  <c r="Z20" i="10"/>
  <c r="Z12" i="10"/>
  <c r="Z19" i="10"/>
  <c r="Z18" i="10"/>
  <c r="BI17" i="10"/>
  <c r="BI16" i="10"/>
  <c r="BI15" i="10"/>
  <c r="BI22" i="10"/>
  <c r="BI14" i="10"/>
  <c r="BI23" i="10"/>
  <c r="BI13" i="10"/>
  <c r="BI20" i="10"/>
  <c r="BI12" i="10"/>
  <c r="BI19" i="10"/>
  <c r="BI18" i="10"/>
  <c r="N17" i="1"/>
  <c r="U16" i="10"/>
  <c r="BE16" i="10"/>
  <c r="U17" i="10"/>
  <c r="BE17" i="10"/>
  <c r="U15" i="10"/>
  <c r="BE15" i="10"/>
  <c r="U22" i="10"/>
  <c r="BE22" i="10"/>
  <c r="U14" i="10"/>
  <c r="BE14" i="10"/>
  <c r="U21" i="10"/>
  <c r="BE21" i="10"/>
  <c r="U13" i="10"/>
  <c r="BE13" i="10"/>
  <c r="U23" i="10"/>
  <c r="BE23" i="10"/>
  <c r="BE12" i="10"/>
  <c r="U20" i="10"/>
  <c r="BE20" i="10"/>
  <c r="U19" i="10"/>
  <c r="BE19" i="10"/>
  <c r="U18" i="10"/>
  <c r="BE18" i="10"/>
  <c r="U12" i="10"/>
  <c r="C10" i="5" a="1"/>
  <c r="C10" i="5" s="1"/>
  <c r="O10" i="5" s="1" a="1"/>
  <c r="O10" i="5" s="1"/>
  <c r="C11" i="5" a="1"/>
  <c r="C11" i="5" s="1"/>
  <c r="O11" i="5" s="1" a="1"/>
  <c r="O11" i="5" s="1"/>
  <c r="C12" i="5" a="1"/>
  <c r="C12" i="5" s="1"/>
  <c r="O12" i="5" s="1" a="1"/>
  <c r="O12" i="5" s="1"/>
  <c r="C13" i="5" a="1"/>
  <c r="C13" i="5" s="1"/>
  <c r="O13" i="5" s="1" a="1"/>
  <c r="O13" i="5" s="1"/>
  <c r="C14" i="5" a="1"/>
  <c r="C14" i="5" s="1"/>
  <c r="O14" i="5" s="1" a="1"/>
  <c r="O14" i="5" s="1"/>
  <c r="C15" i="5" a="1"/>
  <c r="C15" i="5" s="1"/>
  <c r="O15" i="5" s="1" a="1"/>
  <c r="O15" i="5" s="1"/>
  <c r="C16" i="5" a="1"/>
  <c r="C16" i="5" s="1"/>
  <c r="O16" i="5" s="1" a="1"/>
  <c r="O16" i="5" s="1"/>
  <c r="C17" i="5" a="1"/>
  <c r="C17" i="5" s="1"/>
  <c r="O17" i="5" s="1" a="1"/>
  <c r="O17" i="5" s="1"/>
  <c r="C18" i="5" a="1"/>
  <c r="C18" i="5" s="1"/>
  <c r="O18" i="5" s="1" a="1"/>
  <c r="O18" i="5" s="1"/>
  <c r="C9" i="5" a="1"/>
  <c r="C9" i="5" s="1"/>
  <c r="O9" i="5" s="1" a="1"/>
  <c r="O9" i="5" s="1"/>
  <c r="BD13" i="11"/>
  <c r="BD14" i="11"/>
  <c r="BD15" i="11"/>
  <c r="BD16" i="11"/>
  <c r="BD17" i="11"/>
  <c r="BD18" i="11"/>
  <c r="BD19" i="11"/>
  <c r="BD20" i="11"/>
  <c r="BD21" i="11"/>
  <c r="BD12" i="11"/>
  <c r="C14" i="11" a="1"/>
  <c r="C14" i="11" s="1"/>
  <c r="AT14" i="11" s="1" a="1"/>
  <c r="AT14" i="11" s="1"/>
  <c r="C13" i="11" a="1"/>
  <c r="C13" i="11" s="1"/>
  <c r="AT13" i="11" s="1" a="1"/>
  <c r="AT13" i="11" s="1"/>
  <c r="C15" i="11" a="1"/>
  <c r="C15" i="11" s="1"/>
  <c r="AT15" i="11" s="1" a="1"/>
  <c r="AT15" i="11" s="1"/>
  <c r="C16" i="11" a="1"/>
  <c r="C16" i="11" s="1"/>
  <c r="AT16" i="11" s="1" a="1"/>
  <c r="AT16" i="11" s="1"/>
  <c r="C17" i="11" a="1"/>
  <c r="C17" i="11" s="1"/>
  <c r="AT17" i="11" s="1" a="1"/>
  <c r="AT17" i="11" s="1"/>
  <c r="I20" i="11"/>
  <c r="C20" i="11" s="1" a="1"/>
  <c r="C20" i="11" s="1"/>
  <c r="AT20" i="11" s="1" a="1"/>
  <c r="AT20" i="11" s="1"/>
  <c r="I21" i="11"/>
  <c r="C21" i="11" s="1" a="1"/>
  <c r="C21" i="11" s="1"/>
  <c r="AT21" i="11" s="1" a="1"/>
  <c r="AT21" i="11" s="1"/>
  <c r="C12" i="11" a="1"/>
  <c r="C12" i="11" s="1"/>
  <c r="AT12" i="11" s="1" a="1"/>
  <c r="AT12" i="11" s="1"/>
  <c r="AC10" i="8" l="1" a="1"/>
  <c r="AC10" i="8" s="1"/>
  <c r="AE10" i="8" a="1"/>
  <c r="AE10" i="8" s="1"/>
  <c r="BI4" i="10"/>
  <c r="BI3" i="10" s="1"/>
  <c r="BE4" i="10"/>
  <c r="BE3" i="10" s="1"/>
  <c r="AC11" i="8" a="1"/>
  <c r="AC11" i="8" s="1"/>
  <c r="H20" i="1"/>
  <c r="AA7" i="9" a="1"/>
  <c r="AA7" i="9" s="1"/>
  <c r="AJ7" i="9" a="1"/>
  <c r="AJ7" i="9" s="1"/>
  <c r="AJ9" i="9" a="1"/>
  <c r="AJ9" i="9" s="1"/>
  <c r="AA9" i="9" a="1"/>
  <c r="AA9" i="9" s="1"/>
  <c r="AJ8" i="9" a="1"/>
  <c r="AJ8" i="9" s="1"/>
  <c r="AA8" i="9" a="1"/>
  <c r="AA8" i="9" s="1"/>
  <c r="X10" i="8" a="1"/>
  <c r="X10" i="8" s="1"/>
  <c r="AE11" i="8" a="1"/>
  <c r="AE11" i="8" s="1"/>
  <c r="C13" i="10" a="1"/>
  <c r="C13" i="10" s="1"/>
  <c r="BH13" i="10" s="1"/>
  <c r="O4" i="5"/>
  <c r="C12" i="10" a="1"/>
  <c r="C12" i="10" s="1"/>
  <c r="C14" i="10" a="1"/>
  <c r="C14" i="10" s="1"/>
  <c r="C19" i="10" a="1"/>
  <c r="C19" i="10" s="1"/>
  <c r="BH19" i="10" s="1"/>
  <c r="C16" i="10" a="1"/>
  <c r="C16" i="10" s="1"/>
  <c r="C18" i="10" a="1"/>
  <c r="C18" i="10" s="1"/>
  <c r="C15" i="10" a="1"/>
  <c r="C15" i="10" s="1"/>
  <c r="C23" i="10" a="1"/>
  <c r="C23" i="10" s="1"/>
  <c r="C20" i="10" a="1"/>
  <c r="C20" i="10" s="1"/>
  <c r="C17" i="10" a="1"/>
  <c r="C17" i="10" s="1"/>
  <c r="C22" i="10" a="1"/>
  <c r="C22" i="10" s="1"/>
  <c r="AZ20" i="11"/>
  <c r="AZ21" i="11"/>
  <c r="BA21" i="11"/>
  <c r="BA20" i="11"/>
  <c r="BA16" i="11"/>
  <c r="BA15" i="11"/>
  <c r="BA13" i="11"/>
  <c r="BA17" i="11"/>
  <c r="BA14" i="11"/>
  <c r="AY12" i="11"/>
  <c r="BA12" i="11"/>
  <c r="AV20" i="11"/>
  <c r="AY20" i="11"/>
  <c r="AV17" i="11"/>
  <c r="AY17" i="11"/>
  <c r="AV21" i="11"/>
  <c r="AY21" i="11"/>
  <c r="AV15" i="11"/>
  <c r="AY15" i="11"/>
  <c r="AV13" i="11"/>
  <c r="AY13" i="11"/>
  <c r="AV16" i="11"/>
  <c r="AY16" i="11"/>
  <c r="AV14" i="11"/>
  <c r="AY14" i="11"/>
  <c r="AV12" i="11"/>
  <c r="C21" i="10" a="1"/>
  <c r="C21" i="10" s="1"/>
  <c r="AZ17" i="11"/>
  <c r="AZ14" i="11"/>
  <c r="AZ16" i="11"/>
  <c r="AZ13" i="11"/>
  <c r="AZ15" i="11"/>
  <c r="AZ12" i="11"/>
  <c r="AX12" i="11"/>
  <c r="AU16" i="11"/>
  <c r="AW16" i="11"/>
  <c r="AX16" i="11"/>
  <c r="AU17" i="11"/>
  <c r="AW17" i="11"/>
  <c r="AX17" i="11"/>
  <c r="AU15" i="11"/>
  <c r="AW15" i="11"/>
  <c r="AX15" i="11"/>
  <c r="AU13" i="11"/>
  <c r="AX13" i="11"/>
  <c r="AW13" i="11"/>
  <c r="AU14" i="11"/>
  <c r="AW14" i="11"/>
  <c r="AX14" i="11"/>
  <c r="AU21" i="11"/>
  <c r="AW21" i="11"/>
  <c r="AX21" i="11"/>
  <c r="AU20" i="11"/>
  <c r="AW20" i="11"/>
  <c r="AX20" i="11"/>
  <c r="AU12" i="11"/>
  <c r="AW12" i="11"/>
  <c r="N26" i="8"/>
  <c r="E26" i="8" s="1"/>
  <c r="N25" i="8"/>
  <c r="F25" i="8" s="1"/>
  <c r="C19" i="11" a="1"/>
  <c r="C19" i="11" s="1"/>
  <c r="AT19" i="11" s="1" a="1"/>
  <c r="AT19" i="11" s="1"/>
  <c r="C18" i="11" a="1"/>
  <c r="C18" i="11" s="1"/>
  <c r="AT18" i="11" s="1" a="1"/>
  <c r="AT18" i="11" s="1"/>
  <c r="U10" i="8" l="1" a="1"/>
  <c r="U10" i="8" s="1"/>
  <c r="BH12" i="10"/>
  <c r="AV12" i="10" a="1"/>
  <c r="AV12" i="10" s="1"/>
  <c r="AT4" i="11"/>
  <c r="AT3" i="11" s="1"/>
  <c r="H19" i="1"/>
  <c r="BH21" i="10"/>
  <c r="AV21" i="10" a="1"/>
  <c r="AV21" i="10" s="1"/>
  <c r="BA13" i="10"/>
  <c r="BH15" i="10"/>
  <c r="AV15" i="10" a="1"/>
  <c r="AV15" i="10" s="1"/>
  <c r="BH18" i="10"/>
  <c r="AV18" i="10" a="1"/>
  <c r="AV18" i="10" s="1"/>
  <c r="AV19" i="10" a="1"/>
  <c r="AV19" i="10" s="1"/>
  <c r="BD13" i="10"/>
  <c r="AX13" i="10"/>
  <c r="AW13" i="10"/>
  <c r="AZ13" i="10"/>
  <c r="BC13" i="10"/>
  <c r="AY13" i="10"/>
  <c r="BG13" i="10"/>
  <c r="AV13" i="10" a="1"/>
  <c r="AV13" i="10" s="1"/>
  <c r="BB13" i="10"/>
  <c r="BF13" i="10"/>
  <c r="U38" i="1" a="1"/>
  <c r="U38" i="1" s="1"/>
  <c r="W38" i="1" a="1"/>
  <c r="W38" i="1" s="1"/>
  <c r="BH14" i="10"/>
  <c r="AV14" i="10" a="1"/>
  <c r="AV14" i="10" s="1"/>
  <c r="I21" i="9"/>
  <c r="AG9" i="9"/>
  <c r="AG8" i="9"/>
  <c r="AG7" i="9"/>
  <c r="AD9" i="9"/>
  <c r="AD8" i="9"/>
  <c r="AD7" i="9"/>
  <c r="X9" i="9"/>
  <c r="X7" i="9"/>
  <c r="X8" i="9"/>
  <c r="U8" i="9"/>
  <c r="U9" i="9"/>
  <c r="U7" i="9"/>
  <c r="F8" i="9"/>
  <c r="F9" i="9"/>
  <c r="F7" i="9"/>
  <c r="E8" i="9"/>
  <c r="E9" i="9"/>
  <c r="E7" i="9"/>
  <c r="J17" i="8" a="1"/>
  <c r="J17" i="8" s="1"/>
  <c r="K17" i="8" s="1"/>
  <c r="J16" i="8" a="1"/>
  <c r="J16" i="8" s="1"/>
  <c r="K16" i="8" s="1" a="1"/>
  <c r="K16" i="8" s="1"/>
  <c r="H17" i="8" a="1"/>
  <c r="H17" i="8" s="1"/>
  <c r="I17" i="8" s="1"/>
  <c r="H16" i="8" a="1"/>
  <c r="H16" i="8" s="1"/>
  <c r="I16" i="8" s="1"/>
  <c r="AO11" i="8" a="1"/>
  <c r="AO11" i="8" s="1"/>
  <c r="AM11" i="8" a="1"/>
  <c r="AM11" i="8" s="1"/>
  <c r="AH11" i="8" a="1"/>
  <c r="AH11" i="8" s="1"/>
  <c r="AJ11" i="8" a="1"/>
  <c r="AJ11" i="8" s="1"/>
  <c r="BA12" i="10"/>
  <c r="U11" i="8" a="1"/>
  <c r="U11" i="8" s="1"/>
  <c r="S11" i="8" a="1"/>
  <c r="S11" i="8" s="1"/>
  <c r="S10" i="8" a="1"/>
  <c r="S10" i="8" s="1"/>
  <c r="E17" i="8" a="1"/>
  <c r="E17" i="8" s="1"/>
  <c r="E16" i="8" a="1"/>
  <c r="E16" i="8" s="1"/>
  <c r="AO10" i="8"/>
  <c r="AJ10" i="8"/>
  <c r="AM10" i="8"/>
  <c r="AH10" i="8"/>
  <c r="J8" i="8"/>
  <c r="K8" i="8" s="1"/>
  <c r="J9" i="8"/>
  <c r="K9" i="8" s="1"/>
  <c r="H9" i="8"/>
  <c r="I9" i="8" s="1"/>
  <c r="H8" i="8"/>
  <c r="I8" i="8" s="1"/>
  <c r="E8" i="8" a="1"/>
  <c r="E8" i="8" s="1"/>
  <c r="G8" i="8" s="1" a="1"/>
  <c r="G8" i="8" s="1"/>
  <c r="E9" i="8" a="1"/>
  <c r="E9" i="8" s="1"/>
  <c r="G9" i="8" s="1" a="1"/>
  <c r="G9" i="8" s="1"/>
  <c r="BB12" i="10"/>
  <c r="BD12" i="10"/>
  <c r="BC12" i="10"/>
  <c r="U26" i="9"/>
  <c r="I27" i="9" s="1"/>
  <c r="AX12" i="10"/>
  <c r="AW12" i="10"/>
  <c r="BG12" i="10"/>
  <c r="BF12" i="10"/>
  <c r="AZ12" i="10"/>
  <c r="AY12" i="10"/>
  <c r="BC19" i="10"/>
  <c r="BB19" i="10"/>
  <c r="BA19" i="10"/>
  <c r="BD19" i="10"/>
  <c r="AW19" i="10"/>
  <c r="BC14" i="10"/>
  <c r="BA14" i="10"/>
  <c r="BB14" i="10"/>
  <c r="BD14" i="10"/>
  <c r="AW14" i="10"/>
  <c r="AX14" i="10"/>
  <c r="AZ19" i="10"/>
  <c r="AY19" i="10"/>
  <c r="BG19" i="10"/>
  <c r="AX19" i="10"/>
  <c r="BF19" i="10"/>
  <c r="AZ14" i="10"/>
  <c r="AY14" i="10"/>
  <c r="BG14" i="10"/>
  <c r="BF14" i="10"/>
  <c r="BH22" i="10"/>
  <c r="AV22" i="10" a="1"/>
  <c r="AV22" i="10" s="1"/>
  <c r="BH20" i="10"/>
  <c r="AV20" i="10" a="1"/>
  <c r="AV20" i="10" s="1"/>
  <c r="BH17" i="10"/>
  <c r="AV17" i="10" a="1"/>
  <c r="AV17" i="10" s="1"/>
  <c r="BH16" i="10"/>
  <c r="AV16" i="10" a="1"/>
  <c r="AV16" i="10" s="1"/>
  <c r="BH23" i="10"/>
  <c r="AV23" i="10" a="1"/>
  <c r="AV23" i="10" s="1"/>
  <c r="BG20" i="10"/>
  <c r="BG23" i="10"/>
  <c r="BG17" i="10"/>
  <c r="BF21" i="10"/>
  <c r="BG21" i="10"/>
  <c r="AY15" i="10"/>
  <c r="BG15" i="10"/>
  <c r="AW18" i="10"/>
  <c r="BG18" i="10"/>
  <c r="BF16" i="10"/>
  <c r="BG16" i="10"/>
  <c r="BF22" i="10"/>
  <c r="BG22" i="10"/>
  <c r="BB18" i="10"/>
  <c r="BD15" i="10"/>
  <c r="AW16" i="10"/>
  <c r="BF23" i="10"/>
  <c r="BA18" i="10"/>
  <c r="BC18" i="10"/>
  <c r="BD18" i="10"/>
  <c r="AW15" i="10"/>
  <c r="AZ18" i="10"/>
  <c r="BC15" i="10"/>
  <c r="BA15" i="10"/>
  <c r="AX15" i="10"/>
  <c r="AZ15" i="10"/>
  <c r="BB15" i="10"/>
  <c r="BC16" i="10"/>
  <c r="BA16" i="10"/>
  <c r="BB16" i="10"/>
  <c r="BD16" i="10"/>
  <c r="AY18" i="10"/>
  <c r="AX18" i="10"/>
  <c r="BF15" i="10"/>
  <c r="BF18" i="10"/>
  <c r="AZ16" i="10"/>
  <c r="AY16" i="10"/>
  <c r="AX16" i="10"/>
  <c r="BD23" i="10"/>
  <c r="BA23" i="10"/>
  <c r="BC23" i="10"/>
  <c r="AZ23" i="10"/>
  <c r="AX23" i="10"/>
  <c r="AY23" i="10"/>
  <c r="BB23" i="10"/>
  <c r="AW23" i="10"/>
  <c r="BD17" i="10"/>
  <c r="BF17" i="10"/>
  <c r="BC20" i="10"/>
  <c r="BF20" i="10"/>
  <c r="BC22" i="10"/>
  <c r="BB20" i="10"/>
  <c r="BB17" i="10"/>
  <c r="AY22" i="10"/>
  <c r="AZ22" i="10"/>
  <c r="AY17" i="10"/>
  <c r="AZ17" i="10"/>
  <c r="AY20" i="10"/>
  <c r="AZ20" i="10"/>
  <c r="AY21" i="10"/>
  <c r="AZ21" i="10"/>
  <c r="BC17" i="10"/>
  <c r="BD20" i="10"/>
  <c r="BB22" i="10"/>
  <c r="BA20" i="10"/>
  <c r="BA22" i="10"/>
  <c r="AX20" i="10"/>
  <c r="BA17" i="10"/>
  <c r="BD22" i="10"/>
  <c r="AW22" i="10"/>
  <c r="AW17" i="10"/>
  <c r="AW20" i="10"/>
  <c r="AX22" i="10"/>
  <c r="AX17" i="10"/>
  <c r="AW21" i="10"/>
  <c r="AX21" i="10"/>
  <c r="BA18" i="11"/>
  <c r="BA19" i="11"/>
  <c r="AV18" i="11"/>
  <c r="AY18" i="11"/>
  <c r="AV19" i="11"/>
  <c r="AY19" i="11"/>
  <c r="BA21" i="10"/>
  <c r="BD21" i="10"/>
  <c r="BB21" i="10"/>
  <c r="BC21" i="10"/>
  <c r="O3" i="5"/>
  <c r="O2" i="5" s="1"/>
  <c r="AZ19" i="11"/>
  <c r="AZ18" i="11"/>
  <c r="AU18" i="11"/>
  <c r="AW18" i="11"/>
  <c r="AX18" i="11"/>
  <c r="AU19" i="11"/>
  <c r="AX19" i="11"/>
  <c r="AW19" i="11"/>
  <c r="E25" i="8"/>
  <c r="W34" i="1" s="1"/>
  <c r="F26" i="8"/>
  <c r="Y36" i="1" s="1"/>
  <c r="H10" i="8" l="1"/>
  <c r="I10" i="8" s="1"/>
  <c r="J10" i="8"/>
  <c r="K10" i="8" s="1"/>
  <c r="E10" i="8"/>
  <c r="G10" i="8" s="1"/>
  <c r="AV4" i="11"/>
  <c r="AV3" i="11" s="1"/>
  <c r="AZ4" i="11"/>
  <c r="AZ3" i="11" s="1"/>
  <c r="AX4" i="10"/>
  <c r="AX3" i="10" s="1"/>
  <c r="AV4" i="10"/>
  <c r="AV3" i="10" s="1"/>
  <c r="AX4" i="11"/>
  <c r="AX3" i="11" s="1"/>
  <c r="BC4" i="10"/>
  <c r="BC3" i="10" s="1"/>
  <c r="BA4" i="11"/>
  <c r="BA3" i="11" s="1"/>
  <c r="AW4" i="11"/>
  <c r="AW3" i="11" s="1"/>
  <c r="AU4" i="11"/>
  <c r="AU3" i="11" s="1"/>
  <c r="AY4" i="11"/>
  <c r="AY3" i="11" s="1"/>
  <c r="AZ4" i="10"/>
  <c r="AZ3" i="10" s="1"/>
  <c r="BF4" i="10"/>
  <c r="BF3" i="10" s="1"/>
  <c r="BD4" i="10"/>
  <c r="BD3" i="10" s="1"/>
  <c r="AW4" i="10"/>
  <c r="AW3" i="10" s="1"/>
  <c r="BH4" i="10"/>
  <c r="BH3" i="10" s="1"/>
  <c r="BB4" i="10"/>
  <c r="BB3" i="10" s="1"/>
  <c r="AY4" i="10"/>
  <c r="AY3" i="10" s="1"/>
  <c r="BA4" i="10"/>
  <c r="BA3" i="10" s="1"/>
  <c r="BG4" i="10"/>
  <c r="BG3" i="10" s="1"/>
  <c r="F9" i="8" a="1"/>
  <c r="F9" i="8" s="1"/>
  <c r="F8" i="8" a="1"/>
  <c r="F8" i="8" s="1"/>
  <c r="Y34" i="1"/>
  <c r="U34" i="1"/>
  <c r="W36" i="1"/>
  <c r="U36" i="1"/>
  <c r="E15" i="9"/>
  <c r="J11" i="8"/>
  <c r="K11" i="8" s="1"/>
  <c r="H11" i="8"/>
  <c r="I11" i="8" s="1"/>
  <c r="E11" i="8"/>
  <c r="H7" i="9"/>
  <c r="I9" i="9"/>
  <c r="H8" i="9"/>
  <c r="I8" i="9"/>
  <c r="I7" i="9"/>
  <c r="H9" i="9"/>
  <c r="G8" i="9"/>
  <c r="G9" i="9"/>
  <c r="G7" i="9"/>
  <c r="F17" i="8"/>
  <c r="G17" i="8"/>
  <c r="F16" i="8"/>
  <c r="G16" i="8"/>
  <c r="F15" i="9"/>
  <c r="S34" i="1" l="1"/>
  <c r="AV2" i="10"/>
  <c r="AT2" i="11"/>
  <c r="S36" i="1"/>
  <c r="H15" i="9"/>
  <c r="G15" i="9"/>
  <c r="J9" i="9"/>
  <c r="J7" i="9"/>
  <c r="J8" i="9"/>
  <c r="F10" i="8"/>
  <c r="G11" i="8"/>
  <c r="U28" i="1" s="1"/>
  <c r="F11" i="8"/>
  <c r="I15" i="9"/>
  <c r="D34" i="1" l="1"/>
  <c r="D36" i="1"/>
  <c r="Y28" i="1"/>
  <c r="W28" i="1"/>
  <c r="W26" i="1"/>
  <c r="J15" i="9"/>
  <c r="L15" i="9" s="1"/>
  <c r="Y26" i="1"/>
  <c r="U26" i="1"/>
  <c r="K10" i="9"/>
  <c r="L10" i="9"/>
  <c r="S28" i="1" l="1"/>
  <c r="S26" i="1"/>
  <c r="S38" i="1" s="1"/>
  <c r="I19" i="9"/>
  <c r="I30" i="9" s="1"/>
  <c r="F21" i="8" s="1"/>
  <c r="K15" i="9"/>
  <c r="I18" i="9" s="1"/>
  <c r="I23" i="9" s="1"/>
  <c r="M10" i="9"/>
  <c r="D38" i="1" l="1"/>
  <c r="D28" i="1"/>
  <c r="D26" i="1"/>
  <c r="I24" i="9"/>
  <c r="M15" i="9"/>
  <c r="I26" i="9" s="1"/>
  <c r="I29" i="9" s="1"/>
  <c r="E21" i="8" s="1"/>
  <c r="B12" i="14" l="1"/>
  <c r="B13" i="14"/>
  <c r="B14" i="14"/>
  <c r="B15" i="14"/>
  <c r="B16" i="14"/>
  <c r="B3" i="14"/>
  <c r="S32" i="1" l="1"/>
  <c r="D32" i="1" l="1"/>
  <c r="S30" i="1"/>
  <c r="D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0" authorId="0" shapeId="0" xr:uid="{00000000-0006-0000-0200-000001000000}">
      <text>
        <r>
          <rPr>
            <b/>
            <sz val="9"/>
            <color indexed="81"/>
            <rFont val="Meiryo UI"/>
            <family val="3"/>
            <charset val="128"/>
          </rPr>
          <t>複数の事業者が連名で任意参加する場合にのみ記載してください。</t>
        </r>
      </text>
    </comment>
    <comment ref="D16" authorId="0" shapeId="0" xr:uid="{00000000-0006-0000-0200-000002000000}">
      <text>
        <r>
          <rPr>
            <b/>
            <sz val="9"/>
            <color indexed="81"/>
            <rFont val="Meiryo UI"/>
            <family val="3"/>
            <charset val="128"/>
          </rPr>
          <t>該当する区分にチェックをつけてください。（複数選択可）</t>
        </r>
      </text>
    </comment>
    <comment ref="D17" authorId="0" shapeId="0" xr:uid="{00000000-0006-0000-0200-000003000000}">
      <text>
        <r>
          <rPr>
            <b/>
            <sz val="9"/>
            <color indexed="81"/>
            <rFont val="Meiryo UI"/>
            <family val="3"/>
            <charset val="128"/>
          </rPr>
          <t>該当する区分を選択してください。（1つのみ選択可）</t>
        </r>
      </text>
    </comment>
    <comment ref="D19" authorId="0" shapeId="0" xr:uid="{00000000-0006-0000-0200-000004000000}">
      <text>
        <r>
          <rPr>
            <b/>
            <sz val="9"/>
            <color indexed="81"/>
            <rFont val="Meiryo UI"/>
            <family val="3"/>
            <charset val="128"/>
          </rPr>
          <t>その4シートの記載を基に自動算出（住宅・非住宅混在の建物は重複を排除）されます。</t>
        </r>
      </text>
    </comment>
    <comment ref="G19" authorId="0" shapeId="0" xr:uid="{00000000-0006-0000-0200-000005000000}">
      <text>
        <r>
          <rPr>
            <b/>
            <sz val="9"/>
            <color indexed="81"/>
            <rFont val="Meiryo UI"/>
            <family val="3"/>
            <charset val="128"/>
          </rPr>
          <t>単位：棟</t>
        </r>
      </text>
    </comment>
    <comment ref="G20" authorId="0" shapeId="0" xr:uid="{00000000-0006-0000-0200-000006000000}">
      <text>
        <r>
          <rPr>
            <b/>
            <sz val="9"/>
            <color indexed="81"/>
            <rFont val="Meiryo UI"/>
            <family val="3"/>
            <charset val="128"/>
          </rPr>
          <t>単位：㎡</t>
        </r>
        <r>
          <rPr>
            <sz val="9"/>
            <color indexed="81"/>
            <rFont val="MS P ゴシック"/>
            <family val="3"/>
            <charset val="128"/>
          </rPr>
          <t xml:space="preserve">
</t>
        </r>
      </text>
    </comment>
    <comment ref="G22" authorId="0" shapeId="0" xr:uid="{00000000-0006-0000-0200-000007000000}">
      <text>
        <r>
          <rPr>
            <b/>
            <sz val="9"/>
            <color indexed="81"/>
            <rFont val="Meiryo UI"/>
            <family val="3"/>
            <charset val="128"/>
          </rPr>
          <t>単位：棟</t>
        </r>
      </text>
    </comment>
    <comment ref="G23" authorId="0" shapeId="0" xr:uid="{00000000-0006-0000-0200-000008000000}">
      <text>
        <r>
          <rPr>
            <b/>
            <sz val="9"/>
            <color indexed="81"/>
            <rFont val="Meiryo UI"/>
            <family val="3"/>
            <charset val="128"/>
          </rPr>
          <t>単位：㎡
小数点第2位までの記載としてください（3位以下切り上げ）。</t>
        </r>
      </text>
    </comment>
    <comment ref="C25" authorId="0" shapeId="0" xr:uid="{00000000-0006-0000-0200-000009000000}">
      <text>
        <r>
          <rPr>
            <b/>
            <sz val="9"/>
            <color indexed="81"/>
            <rFont val="Meiryo UI"/>
            <family val="3"/>
            <charset val="128"/>
          </rPr>
          <t>その2シートの「（１）省エネルギー性能基準及び誘導すべき同基準に関する事項」の各基準適合状況に「適合しない」が含まれない場合、「適合する」となります。</t>
        </r>
      </text>
    </comment>
    <comment ref="C27" authorId="0" shapeId="0" xr:uid="{00000000-0006-0000-0200-00000A000000}">
      <text>
        <r>
          <rPr>
            <b/>
            <sz val="9"/>
            <color indexed="81"/>
            <rFont val="Meiryo UI"/>
            <family val="3"/>
            <charset val="128"/>
          </rPr>
          <t>その2シートの「（１）省エネルギー性能基準及び誘導すべき同基準に関する事項」の各誘導基準適合状況に「適合しない」が含まれない場合、「適合する」となります。</t>
        </r>
      </text>
    </comment>
    <comment ref="C29" authorId="0" shapeId="0" xr:uid="{00000000-0006-0000-0200-00000B000000}">
      <text>
        <r>
          <rPr>
            <b/>
            <sz val="9"/>
            <color indexed="81"/>
            <rFont val="Meiryo UI"/>
            <family val="3"/>
            <charset val="128"/>
          </rPr>
          <t>その2シートの「（２）再生可能エネルギー利用設備設置基準及び誘導すべき同基準に関する事項」の基準適合状況の値が表示されます。</t>
        </r>
      </text>
    </comment>
    <comment ref="C31" authorId="0" shapeId="0" xr:uid="{00000000-0006-0000-0200-00000C000000}">
      <text>
        <r>
          <rPr>
            <b/>
            <sz val="9"/>
            <color indexed="81"/>
            <rFont val="Meiryo UI"/>
            <family val="3"/>
            <charset val="128"/>
          </rPr>
          <t>その2シートの「（２）再生可能エネルギー利用設備設置基準及び誘導すべき同基準に関する事項」の誘導基準適合状況の値が表示されます。</t>
        </r>
        <r>
          <rPr>
            <sz val="9"/>
            <color indexed="81"/>
            <rFont val="MS P ゴシック"/>
            <family val="3"/>
            <charset val="128"/>
          </rPr>
          <t xml:space="preserve">
</t>
        </r>
      </text>
    </comment>
    <comment ref="C33" authorId="0" shapeId="0" xr:uid="{00000000-0006-0000-0200-00000D000000}">
      <text>
        <r>
          <rPr>
            <b/>
            <sz val="9"/>
            <color indexed="81"/>
            <rFont val="Meiryo UI"/>
            <family val="3"/>
            <charset val="128"/>
          </rPr>
          <t>その2シートの「（３）電気自動車充電設備整備基準及び誘導すべき同基準に関する事項」の各基準適合状況に「適合しない」が含まれない場合、「適合する」となります。
※適合状況がすべて「－」の場合は「対象外」となります</t>
        </r>
      </text>
    </comment>
    <comment ref="C35" authorId="0" shapeId="0" xr:uid="{00000000-0006-0000-0200-00000E000000}">
      <text>
        <r>
          <rPr>
            <b/>
            <sz val="9"/>
            <color indexed="81"/>
            <rFont val="Meiryo UI"/>
            <family val="3"/>
            <charset val="128"/>
          </rPr>
          <t>その2シートの「（３）電気自動車充電設備整備基準及び誘導すべき同基準に関する事項」の各誘導基準適合状況に「適合しない」が含まれない場合、「適合する」となります。
※適合状況がすべて「－」の場合は「対</t>
        </r>
        <r>
          <rPr>
            <b/>
            <sz val="9"/>
            <color indexed="81"/>
            <rFont val="MS P ゴシック"/>
            <family val="3"/>
            <charset val="128"/>
          </rPr>
          <t>象外」となります</t>
        </r>
      </text>
    </comment>
    <comment ref="C37" authorId="0" shapeId="0" xr:uid="{00000000-0006-0000-0200-00000F000000}">
      <text>
        <r>
          <rPr>
            <b/>
            <sz val="9"/>
            <color indexed="81"/>
            <rFont val="Meiryo UI"/>
            <family val="3"/>
            <charset val="128"/>
          </rPr>
          <t>その4シートの「オ　中小規模特定建築物等に係る措置に関する説明の実施状況」に「未実施」が含まれない場合、「適合する」となります。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300-000001000000}">
      <text>
        <r>
          <rPr>
            <b/>
            <sz val="9"/>
            <color indexed="81"/>
            <rFont val="Meiryo UI"/>
            <family val="3"/>
            <charset val="128"/>
          </rPr>
          <t>その1シートで選択された「トップランナーの区分」に対応する住宅区分以外の住宅は、すべて「その他の住宅」として扱われます。
（例：トップランナーの区分が注文住宅である事業者が建築した分譲戸建住宅は、「その他の住宅」として基準が適用される）</t>
        </r>
        <r>
          <rPr>
            <b/>
            <sz val="9"/>
            <color indexed="81"/>
            <rFont val="MS P ゴシック"/>
            <family val="3"/>
            <charset val="128"/>
          </rPr>
          <t xml:space="preserve">
</t>
        </r>
      </text>
    </comment>
    <comment ref="E7" authorId="0" shapeId="0" xr:uid="{00000000-0006-0000-0300-000002000000}">
      <text>
        <r>
          <rPr>
            <b/>
            <sz val="9"/>
            <color indexed="81"/>
            <rFont val="Meiryo UI"/>
            <family val="3"/>
            <charset val="128"/>
          </rPr>
          <t>区分ごとに、最も性能が低い値が表示されます。</t>
        </r>
      </text>
    </comment>
    <comment ref="F7" authorId="0" shapeId="0" xr:uid="{00000000-0006-0000-0300-000003000000}">
      <text>
        <r>
          <rPr>
            <b/>
            <sz val="9"/>
            <color indexed="81"/>
            <rFont val="Meiryo UI"/>
            <family val="3"/>
            <charset val="128"/>
          </rPr>
          <t>その4シートの「（ア）　建築物の熱負荷の低減に関する事項」の基準適合状況がすべて「適合」の場合、「適合」が表示されます。</t>
        </r>
      </text>
    </comment>
    <comment ref="G7" authorId="0" shapeId="0" xr:uid="{00000000-0006-0000-0300-000004000000}">
      <text>
        <r>
          <rPr>
            <b/>
            <sz val="9"/>
            <color indexed="81"/>
            <rFont val="Meiryo UI"/>
            <family val="3"/>
            <charset val="128"/>
          </rPr>
          <t>その4シートの「（ア）　建築物の熱負荷の低減に関する事項」の誘導基準適合状況がすべて「適合」の場合、「適合」が表示されます。</t>
        </r>
      </text>
    </comment>
    <comment ref="H7" authorId="0" shapeId="0" xr:uid="{00000000-0006-0000-0300-000005000000}">
      <text>
        <r>
          <rPr>
            <b/>
            <sz val="9"/>
            <color indexed="81"/>
            <rFont val="Meiryo UI"/>
            <family val="3"/>
            <charset val="128"/>
          </rPr>
          <t>「その他の住宅」は最も性能が低い値が表示され、それ以外の区分はその4シートの「設計一次エネルギー消費量の合計 ÷ 基準一次エネルギー消費量の合計」の結果が表示されます。</t>
        </r>
      </text>
    </comment>
    <comment ref="I7" authorId="0" shapeId="0" xr:uid="{00000000-0006-0000-0300-000006000000}">
      <text>
        <r>
          <rPr>
            <b/>
            <sz val="9"/>
            <color indexed="81"/>
            <rFont val="Meiryo UI"/>
            <family val="3"/>
            <charset val="128"/>
          </rPr>
          <t>左列で算出された住宅用途BEIの基準適合状況を表示します。</t>
        </r>
        <r>
          <rPr>
            <sz val="9"/>
            <color indexed="81"/>
            <rFont val="MS P ゴシック"/>
            <family val="3"/>
            <charset val="128"/>
          </rPr>
          <t xml:space="preserve">
</t>
        </r>
      </text>
    </comment>
    <comment ref="J7" authorId="0" shapeId="0" xr:uid="{00000000-0006-0000-0300-000007000000}">
      <text>
        <r>
          <rPr>
            <b/>
            <sz val="9"/>
            <color indexed="81"/>
            <rFont val="Meiryo UI"/>
            <family val="3"/>
            <charset val="128"/>
          </rPr>
          <t>「その他の住宅」は最も性能が低い値が表示され、それ以外の区分はその4シートの「誘導設計一次エネルギー消費量の合計 ÷ 誘導基準一次エネルギー消費量の合計」の結果が表示されます。</t>
        </r>
      </text>
    </comment>
    <comment ref="K7" authorId="0" shapeId="0" xr:uid="{00000000-0006-0000-0300-000008000000}">
      <text>
        <r>
          <rPr>
            <b/>
            <sz val="9"/>
            <color indexed="81"/>
            <rFont val="Meiryo UI"/>
            <family val="3"/>
            <charset val="128"/>
          </rPr>
          <t>左列で算出された住宅用途BEI（誘導基準）の誘導基準適合状況を表示します。</t>
        </r>
      </text>
    </comment>
    <comment ref="E15" authorId="0" shapeId="0" xr:uid="{00000000-0006-0000-0300-000009000000}">
      <text>
        <r>
          <rPr>
            <b/>
            <sz val="9"/>
            <color indexed="81"/>
            <rFont val="Meiryo UI"/>
            <family val="3"/>
            <charset val="128"/>
          </rPr>
          <t>区分ごとに、最も性能が低い値が表示されます。</t>
        </r>
        <r>
          <rPr>
            <sz val="9"/>
            <color indexed="81"/>
            <rFont val="MS P ゴシック"/>
            <family val="3"/>
            <charset val="128"/>
          </rPr>
          <t xml:space="preserve">
</t>
        </r>
      </text>
    </comment>
    <comment ref="F15" authorId="0" shapeId="0" xr:uid="{00000000-0006-0000-0300-00000A000000}">
      <text>
        <r>
          <rPr>
            <b/>
            <sz val="9"/>
            <color indexed="81"/>
            <rFont val="Meiryo UI"/>
            <family val="3"/>
            <charset val="128"/>
          </rPr>
          <t>左列で算出されたBPIの基準適合状況を表示します。</t>
        </r>
        <r>
          <rPr>
            <sz val="9"/>
            <color indexed="81"/>
            <rFont val="Meiryo UI"/>
            <family val="3"/>
            <charset val="128"/>
          </rPr>
          <t xml:space="preserve">
</t>
        </r>
      </text>
    </comment>
    <comment ref="G15" authorId="0" shapeId="0" xr:uid="{00000000-0006-0000-0300-00000B000000}">
      <text>
        <r>
          <rPr>
            <b/>
            <sz val="9"/>
            <color indexed="81"/>
            <rFont val="Meiryo UI"/>
            <family val="3"/>
            <charset val="128"/>
          </rPr>
          <t xml:space="preserve">左列で算出されたBPIの誘導基準適合状況を表示します。
</t>
        </r>
        <r>
          <rPr>
            <sz val="9"/>
            <color indexed="81"/>
            <rFont val="MS P ゴシック"/>
            <family val="3"/>
            <charset val="128"/>
          </rPr>
          <t xml:space="preserve">
</t>
        </r>
      </text>
    </comment>
    <comment ref="H15" authorId="0" shapeId="0" xr:uid="{00000000-0006-0000-0300-00000C000000}">
      <text>
        <r>
          <rPr>
            <b/>
            <sz val="9"/>
            <color indexed="81"/>
            <rFont val="Meiryo UI"/>
            <family val="3"/>
            <charset val="128"/>
          </rPr>
          <t>区分ごとに、最も性能が低い値が表示されます。</t>
        </r>
        <r>
          <rPr>
            <sz val="9"/>
            <color indexed="81"/>
            <rFont val="MS P ゴシック"/>
            <family val="3"/>
            <charset val="128"/>
          </rPr>
          <t xml:space="preserve">
</t>
        </r>
      </text>
    </comment>
    <comment ref="I15" authorId="0" shapeId="0" xr:uid="{00000000-0006-0000-0300-00000D000000}">
      <text>
        <r>
          <rPr>
            <b/>
            <sz val="9"/>
            <color indexed="81"/>
            <rFont val="Meiryo UI"/>
            <family val="3"/>
            <charset val="128"/>
          </rPr>
          <t>左列で算出された非住宅用途BEIの基準適合状況を表示します。</t>
        </r>
        <r>
          <rPr>
            <sz val="9"/>
            <color indexed="81"/>
            <rFont val="MS P ゴシック"/>
            <family val="3"/>
            <charset val="128"/>
          </rPr>
          <t xml:space="preserve">
</t>
        </r>
      </text>
    </comment>
    <comment ref="J15" authorId="0" shapeId="0" xr:uid="{00000000-0006-0000-0300-00000E000000}">
      <text>
        <r>
          <rPr>
            <b/>
            <sz val="9"/>
            <color indexed="81"/>
            <rFont val="Meiryo UI"/>
            <family val="3"/>
            <charset val="128"/>
          </rPr>
          <t>区分ごとに、最も性能が低い値が表示されます。</t>
        </r>
        <r>
          <rPr>
            <sz val="9"/>
            <color indexed="81"/>
            <rFont val="Meiryo UI"/>
            <family val="3"/>
            <charset val="128"/>
          </rPr>
          <t xml:space="preserve">
</t>
        </r>
      </text>
    </comment>
    <comment ref="K15" authorId="0" shapeId="0" xr:uid="{00000000-0006-0000-0300-00000F000000}">
      <text>
        <r>
          <rPr>
            <b/>
            <sz val="9"/>
            <color indexed="81"/>
            <rFont val="Meiryo UI"/>
            <family val="3"/>
            <charset val="128"/>
          </rPr>
          <t>左列で算出された非住宅用途BEI（誘導基準）の誘導基準適合状況を表示します。</t>
        </r>
      </text>
    </comment>
    <comment ref="E20" authorId="0" shapeId="0" xr:uid="{00000000-0006-0000-0300-000010000000}">
      <text>
        <r>
          <rPr>
            <b/>
            <sz val="9"/>
            <color indexed="81"/>
            <rFont val="Meiryo UI"/>
            <family val="3"/>
            <charset val="128"/>
          </rPr>
          <t>その6シートの「再生可能エネルギー利用設備設置基準に対する適合状況」の値が表示されます。</t>
        </r>
        <r>
          <rPr>
            <sz val="9"/>
            <color indexed="81"/>
            <rFont val="MS P ゴシック"/>
            <family val="3"/>
            <charset val="128"/>
          </rPr>
          <t xml:space="preserve">
</t>
        </r>
      </text>
    </comment>
    <comment ref="F20" authorId="0" shapeId="0" xr:uid="{00000000-0006-0000-0300-000011000000}">
      <text>
        <r>
          <rPr>
            <b/>
            <sz val="9"/>
            <color indexed="81"/>
            <rFont val="Meiryo UI"/>
            <family val="3"/>
            <charset val="128"/>
          </rPr>
          <t>その6シートの「誘導すべき再生可能エネルギー利用設備設置基準に対する適合状況」の値が表示されます。</t>
        </r>
      </text>
    </comment>
    <comment ref="E24" authorId="0" shapeId="0" xr:uid="{00000000-0006-0000-0300-000012000000}">
      <text>
        <r>
          <rPr>
            <b/>
            <sz val="9"/>
            <color indexed="81"/>
            <rFont val="Meiryo UI"/>
            <family val="3"/>
            <charset val="128"/>
          </rPr>
          <t>その4シートの「エ　電気自動車充電設備整備基準及び誘導すべき同基準に関する事項」の基準適合状況に「適合しない」が含まれない場合、「適合」となります。
※適合状況がすべて「－」の場合は「－」となります</t>
        </r>
        <r>
          <rPr>
            <sz val="9"/>
            <color indexed="81"/>
            <rFont val="MS P ゴシック"/>
            <family val="3"/>
            <charset val="128"/>
          </rPr>
          <t xml:space="preserve">
</t>
        </r>
      </text>
    </comment>
    <comment ref="F24" authorId="0" shapeId="0" xr:uid="{00000000-0006-0000-0300-000013000000}">
      <text>
        <r>
          <rPr>
            <b/>
            <sz val="9"/>
            <color indexed="81"/>
            <rFont val="Meiryo UI"/>
            <family val="3"/>
            <charset val="128"/>
          </rPr>
          <t>その4シートの「エ　電気自動車充電設備整備基準及び誘導すべき同基準に関する事項」の誘導基準適合状況に「適合しない」が含まれない場合、「適合」となります。
※適合状況がすべて「－」の場合は「－」となります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0500-000001000000}">
      <text>
        <r>
          <rPr>
            <b/>
            <sz val="12"/>
            <color indexed="81"/>
            <rFont val="Meiryo UI"/>
            <family val="3"/>
            <charset val="128"/>
          </rPr>
          <t>自動採番される都の管理番号であり、ファイル統合や行削除で番号が変化します。</t>
        </r>
      </text>
    </comment>
    <comment ref="D8" authorId="0" shapeId="0" xr:uid="{00000000-0006-0000-0500-000002000000}">
      <text>
        <r>
          <rPr>
            <b/>
            <sz val="12"/>
            <color indexed="81"/>
            <rFont val="Meiryo UI"/>
            <family val="3"/>
            <charset val="128"/>
          </rPr>
          <t xml:space="preserve">自社システムのIDなど、管理用の番号を記載可能です（任意入力）。本列は都への報告には含まれません。
</t>
        </r>
        <r>
          <rPr>
            <sz val="12"/>
            <color indexed="81"/>
            <rFont val="Meiryo UI"/>
            <family val="3"/>
            <charset val="128"/>
          </rPr>
          <t xml:space="preserve">
</t>
        </r>
      </text>
    </comment>
    <comment ref="AT8" authorId="0" shapeId="0" xr:uid="{00000000-0006-0000-0500-000003000000}">
      <text>
        <r>
          <rPr>
            <b/>
            <sz val="12"/>
            <color indexed="81"/>
            <rFont val="Meiryo UI"/>
            <family val="3"/>
            <charset val="128"/>
          </rPr>
          <t>選択可能な項目は下記の通りです。
・実施済
・未実施
・実施予定
・―</t>
        </r>
      </text>
    </comment>
    <comment ref="E10" authorId="0" shapeId="0" xr:uid="{00000000-0006-0000-0500-000004000000}">
      <text>
        <r>
          <rPr>
            <b/>
            <sz val="11"/>
            <color indexed="81"/>
            <rFont val="メイリオ"/>
            <family val="3"/>
            <charset val="128"/>
          </rPr>
          <t xml:space="preserve">住宅の識別のため任意の名称を記載可能です（任意入力）。本列は都への報告には含まれません。
</t>
        </r>
      </text>
    </comment>
    <comment ref="F10" authorId="0" shapeId="0" xr:uid="{00000000-0006-0000-0500-000005000000}">
      <text>
        <r>
          <rPr>
            <b/>
            <sz val="12"/>
            <color indexed="81"/>
            <rFont val="Meiryo UI"/>
            <family val="3"/>
            <charset val="128"/>
          </rPr>
          <t>下記項目が選択可能です。
・戸建住宅（注文）
・戸建住宅（分譲）
・戸建住宅（その他）
・共同住宅（分譲）
・共同住宅（賃貸）
・共同住宅（その他）</t>
        </r>
      </text>
    </comment>
    <comment ref="G10" authorId="0" shapeId="0" xr:uid="{00000000-0006-0000-0500-000006000000}">
      <text>
        <r>
          <rPr>
            <b/>
            <sz val="12"/>
            <color indexed="81"/>
            <rFont val="Meiryo UI"/>
            <family val="3"/>
            <charset val="128"/>
          </rPr>
          <t>東京都に存在する区市町村を選択可能です。
※島しょ部は除く</t>
        </r>
      </text>
    </comment>
    <comment ref="H10" authorId="0" shapeId="0" xr:uid="{00000000-0006-0000-0500-000007000000}">
      <text>
        <r>
          <rPr>
            <b/>
            <sz val="12"/>
            <color indexed="81"/>
            <rFont val="Meiryo UI"/>
            <family val="3"/>
            <charset val="128"/>
          </rPr>
          <t>所在地に対応する区域の区分が表示されます。</t>
        </r>
      </text>
    </comment>
    <comment ref="I10" authorId="0" shapeId="0" xr:uid="{00000000-0006-0000-0500-000008000000}">
      <text>
        <r>
          <rPr>
            <b/>
            <sz val="12"/>
            <color indexed="81"/>
            <rFont val="Meiryo UI"/>
            <family val="3"/>
            <charset val="128"/>
          </rPr>
          <t>単位：㎡
小数点第2位までの記載としてください（3位以下切り上げ）。</t>
        </r>
      </text>
    </comment>
    <comment ref="K10" authorId="0" shapeId="0" xr:uid="{00000000-0006-0000-0500-000009000000}">
      <text>
        <r>
          <rPr>
            <b/>
            <sz val="12"/>
            <color indexed="81"/>
            <rFont val="Meiryo UI"/>
            <family val="3"/>
            <charset val="128"/>
          </rPr>
          <t>選択可能な項目は下記の通りです。
・引渡し前
・引渡し済</t>
        </r>
      </text>
    </comment>
    <comment ref="L10" authorId="0" shapeId="0" xr:uid="{00000000-0006-0000-0500-00000A000000}">
      <text>
        <r>
          <rPr>
            <b/>
            <sz val="12"/>
            <color indexed="81"/>
            <rFont val="Meiryo UI"/>
            <family val="3"/>
            <charset val="128"/>
          </rPr>
          <t>単位：W/(㎡・K)
小数点第2位までの記載としてください（3位以下切り上げ）。
※ただし、仕様基準が利用されている場合、本項目は入力不可</t>
        </r>
      </text>
    </comment>
    <comment ref="M10" authorId="0" shapeId="0" xr:uid="{00000000-0006-0000-0500-00000B000000}">
      <text>
        <r>
          <rPr>
            <b/>
            <sz val="12"/>
            <color indexed="81"/>
            <rFont val="Meiryo UI"/>
            <family val="3"/>
            <charset val="128"/>
          </rPr>
          <t>「住宅誘導仕様基準への適合」が「適合」の場合、必ずこちらも「適合」を選択してください。</t>
        </r>
      </text>
    </comment>
    <comment ref="N10" authorId="0" shapeId="0" xr:uid="{00000000-0006-0000-0500-00000C000000}">
      <text>
        <r>
          <rPr>
            <b/>
            <sz val="12"/>
            <color indexed="81"/>
            <rFont val="Meiryo UI"/>
            <family val="3"/>
            <charset val="128"/>
          </rPr>
          <t>UA値または仕様基準の値を基に、適合状況判定結果を表示します。</t>
        </r>
        <r>
          <rPr>
            <sz val="9"/>
            <color indexed="81"/>
            <rFont val="MS P ゴシック"/>
            <family val="3"/>
            <charset val="128"/>
          </rPr>
          <t xml:space="preserve">
</t>
        </r>
      </text>
    </comment>
    <comment ref="P10" authorId="0" shapeId="0" xr:uid="{00000000-0006-0000-0500-00000D000000}">
      <text>
        <r>
          <rPr>
            <b/>
            <sz val="12"/>
            <color indexed="81"/>
            <rFont val="Meiryo UI"/>
            <family val="3"/>
            <charset val="128"/>
          </rPr>
          <t>UA値または誘導仕様基準の値を基に、適合状況判定結果を表示します。</t>
        </r>
        <r>
          <rPr>
            <sz val="12"/>
            <color indexed="81"/>
            <rFont val="Meiryo UI"/>
            <family val="3"/>
            <charset val="128"/>
          </rPr>
          <t xml:space="preserve">
</t>
        </r>
      </text>
    </comment>
    <comment ref="Q10" authorId="0" shapeId="0" xr:uid="{00000000-0006-0000-0500-00000E000000}">
      <text>
        <r>
          <rPr>
            <b/>
            <sz val="12"/>
            <color indexed="81"/>
            <rFont val="Meiryo UI"/>
            <family val="3"/>
            <charset val="128"/>
          </rPr>
          <t>単位：GJ
小数点第1位までの記載としてください（2位以下切り上げ）。
※ただし、仕様基準が利用されている場合、本項目は入力不可</t>
        </r>
      </text>
    </comment>
    <comment ref="R10" authorId="0" shapeId="0" xr:uid="{00000000-0006-0000-0500-00000F000000}">
      <text>
        <r>
          <rPr>
            <b/>
            <sz val="12"/>
            <color indexed="81"/>
            <rFont val="Meiryo UI"/>
            <family val="3"/>
            <charset val="128"/>
          </rPr>
          <t>単位：GJ
小数点第1位までの記載としてください（2位以下切り上げ）。
※ただし、仕様基準が利用されている場合、本項目は入力不可</t>
        </r>
      </text>
    </comment>
    <comment ref="T10" authorId="0" shapeId="0" xr:uid="{00000000-0006-0000-0500-000010000000}">
      <text>
        <r>
          <rPr>
            <b/>
            <sz val="12"/>
            <color indexed="81"/>
            <rFont val="Meiryo UI"/>
            <family val="3"/>
            <charset val="128"/>
          </rPr>
          <t>「住宅の区分」がその1シートで選択された「トップランナーの区分」に対応する区分の場合、本項目は入力不可です。</t>
        </r>
      </text>
    </comment>
    <comment ref="U10" authorId="0" shapeId="0" xr:uid="{00000000-0006-0000-0500-000011000000}">
      <text>
        <r>
          <rPr>
            <b/>
            <sz val="12"/>
            <color indexed="81"/>
            <rFont val="Meiryo UI"/>
            <family val="3"/>
            <charset val="128"/>
          </rPr>
          <t>BEIまたは仕様基準の値を基に、適合状況判定結果を表示します。</t>
        </r>
      </text>
    </comment>
    <comment ref="V10" authorId="0" shapeId="0" xr:uid="{00000000-0006-0000-0500-000012000000}">
      <text>
        <r>
          <rPr>
            <b/>
            <sz val="12"/>
            <color indexed="81"/>
            <rFont val="Meiryo UI"/>
            <family val="3"/>
            <charset val="128"/>
          </rPr>
          <t>単位：GJ
「基準一次エネルギー消費量」の値が自動的に転記されます。</t>
        </r>
      </text>
    </comment>
    <comment ref="W10" authorId="0" shapeId="0" xr:uid="{00000000-0006-0000-0500-000013000000}">
      <text>
        <r>
          <rPr>
            <b/>
            <sz val="12"/>
            <color indexed="81"/>
            <rFont val="Meiryo UI"/>
            <family val="3"/>
            <charset val="128"/>
          </rPr>
          <t>単位：GJ
小数点第1位までの記載としてください（2位以下切り上げ）。
※ただし、誘導仕様基準が利用されている場合、本項目は入力不可</t>
        </r>
      </text>
    </comment>
    <comment ref="Y10" authorId="0" shapeId="0" xr:uid="{00000000-0006-0000-0500-000014000000}">
      <text>
        <r>
          <rPr>
            <b/>
            <sz val="12"/>
            <color indexed="81"/>
            <rFont val="Meiryo UI"/>
            <family val="3"/>
            <charset val="128"/>
          </rPr>
          <t>「住宅の区分」がその1シートで選択された「トップランナーの区分」に対応する区分の場合、本項目は入力不可です。</t>
        </r>
      </text>
    </comment>
    <comment ref="Z10" authorId="0" shapeId="0" xr:uid="{00000000-0006-0000-0500-000015000000}">
      <text>
        <r>
          <rPr>
            <b/>
            <sz val="12"/>
            <color indexed="81"/>
            <rFont val="Meiryo UI"/>
            <family val="3"/>
            <charset val="128"/>
          </rPr>
          <t>BEIまたは誘導仕様基準の値を基に、適合状況判定結果を表示します。</t>
        </r>
      </text>
    </comment>
    <comment ref="AJ10" authorId="0" shapeId="0" xr:uid="{00000000-0006-0000-0500-000016000000}">
      <text>
        <r>
          <rPr>
            <b/>
            <sz val="10"/>
            <color indexed="81"/>
            <rFont val="メイリオ"/>
            <family val="3"/>
            <charset val="128"/>
          </rPr>
          <t>駐車施設の区画の有無について、以下から選択してください。
・有
　→「駐車施設の区画数」に区画数を記入してください。
・有(10区画未満)
・無</t>
        </r>
      </text>
    </comment>
    <comment ref="AK10" authorId="0" shapeId="0" xr:uid="{00000000-0006-0000-0500-000017000000}">
      <text>
        <r>
          <rPr>
            <b/>
            <sz val="12"/>
            <color indexed="81"/>
            <rFont val="Meiryo UI"/>
            <family val="3"/>
            <charset val="128"/>
          </rPr>
          <t>「駐車施設の区画の有無」を「有」とした場合、入力必須。
単位：区画</t>
        </r>
        <r>
          <rPr>
            <sz val="9"/>
            <color indexed="81"/>
            <rFont val="MS P ゴシック"/>
            <family val="3"/>
            <charset val="128"/>
          </rPr>
          <t xml:space="preserve">
</t>
        </r>
      </text>
    </comment>
    <comment ref="AR10" authorId="0" shapeId="0" xr:uid="{00000000-0006-0000-0500-000018000000}">
      <text>
        <r>
          <rPr>
            <b/>
            <sz val="12"/>
            <color indexed="81"/>
            <rFont val="Meiryo UI"/>
            <family val="3"/>
            <charset val="128"/>
          </rPr>
          <t>各設備の整備数を基に、適合状況判定結果を表示します。</t>
        </r>
      </text>
    </comment>
    <comment ref="AS10" authorId="0" shapeId="0" xr:uid="{00000000-0006-0000-0500-000019000000}">
      <text>
        <r>
          <rPr>
            <b/>
            <sz val="12"/>
            <color indexed="81"/>
            <rFont val="Meiryo UI"/>
            <family val="3"/>
            <charset val="128"/>
          </rPr>
          <t>各設備の整備数を基に、適合状況判定結果を表示します。</t>
        </r>
      </text>
    </comment>
    <comment ref="AB11" authorId="0" shapeId="0" xr:uid="{00000000-0006-0000-0500-00001A000000}">
      <text>
        <r>
          <rPr>
            <b/>
            <sz val="12"/>
            <color indexed="81"/>
            <rFont val="Meiryo UI"/>
            <family val="3"/>
            <charset val="128"/>
          </rPr>
          <t>下記項目が選択可能です。
・屋根面積
・その他
※該当有無が「該当有」の場合のみ選択可能</t>
        </r>
      </text>
    </comment>
    <comment ref="AC11" authorId="0" shapeId="0" xr:uid="{00000000-0006-0000-0500-00001B000000}">
      <text>
        <r>
          <rPr>
            <b/>
            <sz val="11"/>
            <color indexed="81"/>
            <rFont val="メイリオ"/>
            <family val="3"/>
            <charset val="128"/>
          </rPr>
          <t>最も大きい南面等屋根の種類を選択してください。
※該当事項が「屋根面積」の場合のみ入力</t>
        </r>
      </text>
    </comment>
    <comment ref="AD11" authorId="0" shapeId="0" xr:uid="{00000000-0006-0000-0500-00001C000000}">
      <text>
        <r>
          <rPr>
            <b/>
            <sz val="11"/>
            <color indexed="81"/>
            <rFont val="メイリオ"/>
            <family val="3"/>
            <charset val="128"/>
          </rPr>
          <t>最も大きい南面等屋根の面積を記入してください。
単位：㎡
小数点第2位までの記載としてください（3位以下切り捨て）。
※該当事項が「屋根面積」の場合のみ入力</t>
        </r>
      </text>
    </comment>
    <comment ref="AE11" authorId="0" shapeId="0" xr:uid="{00000000-0006-0000-0500-00001D000000}">
      <text>
        <r>
          <rPr>
            <b/>
            <sz val="11"/>
            <color indexed="81"/>
            <rFont val="メイリオ"/>
            <family val="3"/>
            <charset val="128"/>
          </rPr>
          <t>2番目に大きい南面等屋根がある場合、その種類を選択してください。
※該当事項が「屋根面積」の場合のみ入力</t>
        </r>
      </text>
    </comment>
    <comment ref="AF11" authorId="0" shapeId="0" xr:uid="{00000000-0006-0000-0500-00001E000000}">
      <text>
        <r>
          <rPr>
            <b/>
            <sz val="11"/>
            <color indexed="81"/>
            <rFont val="メイリオ"/>
            <family val="3"/>
            <charset val="128"/>
          </rPr>
          <t>2番目に大きい南面等屋根がある場合、その面積を記入してください。
単位：㎡
小数点第2位までの記載としてください（3位以下切り捨て）。
※該当事項が「屋根面積」の場合のみ入力</t>
        </r>
      </text>
    </comment>
    <comment ref="AG11" authorId="0" shapeId="0" xr:uid="{00000000-0006-0000-0500-00001F000000}">
      <text>
        <r>
          <rPr>
            <b/>
            <sz val="12"/>
            <color indexed="81"/>
            <rFont val="Meiryo UI"/>
            <family val="3"/>
            <charset val="128"/>
          </rPr>
          <t>単位：kW</t>
        </r>
      </text>
    </comment>
    <comment ref="AH11" authorId="0" shapeId="0" xr:uid="{00000000-0006-0000-0500-000020000000}">
      <text>
        <r>
          <rPr>
            <b/>
            <sz val="12"/>
            <color indexed="81"/>
            <rFont val="Meiryo UI"/>
            <family val="3"/>
            <charset val="128"/>
          </rPr>
          <t>単位：kW</t>
        </r>
      </text>
    </comment>
    <comment ref="AI11" authorId="0" shapeId="0" xr:uid="{00000000-0006-0000-0500-000021000000}">
      <text>
        <r>
          <rPr>
            <b/>
            <sz val="12"/>
            <color indexed="81"/>
            <rFont val="Meiryo UI"/>
            <family val="3"/>
            <charset val="128"/>
          </rPr>
          <t>単位：kW</t>
        </r>
        <r>
          <rPr>
            <sz val="9"/>
            <color indexed="81"/>
            <rFont val="MS P ゴシック"/>
            <family val="3"/>
            <charset val="128"/>
          </rPr>
          <t xml:space="preserve">
</t>
        </r>
      </text>
    </comment>
    <comment ref="AL11" authorId="0" shapeId="0" xr:uid="{00000000-0006-0000-0500-000022000000}">
      <text>
        <r>
          <rPr>
            <b/>
            <sz val="12"/>
            <color indexed="81"/>
            <rFont val="Meiryo UI"/>
            <family val="3"/>
            <charset val="128"/>
          </rPr>
          <t>配管等のみを整備した場合、こちらに記載してください。
単位：区画</t>
        </r>
        <r>
          <rPr>
            <sz val="12"/>
            <color indexed="81"/>
            <rFont val="Meiryo UI"/>
            <family val="3"/>
            <charset val="128"/>
          </rPr>
          <t xml:space="preserve">
</t>
        </r>
      </text>
    </comment>
    <comment ref="AM11" authorId="0" shapeId="0" xr:uid="{00000000-0006-0000-0500-000023000000}">
      <text>
        <r>
          <rPr>
            <b/>
            <sz val="12"/>
            <color indexed="81"/>
            <rFont val="Meiryo UI"/>
            <family val="3"/>
            <charset val="128"/>
          </rPr>
          <t>単位：区画</t>
        </r>
        <r>
          <rPr>
            <sz val="12"/>
            <color indexed="81"/>
            <rFont val="Meiryo UI"/>
            <family val="3"/>
            <charset val="128"/>
          </rPr>
          <t xml:space="preserve">
</t>
        </r>
      </text>
    </comment>
    <comment ref="AN11" authorId="0" shapeId="0" xr:uid="{00000000-0006-0000-0500-000024000000}">
      <text>
        <r>
          <rPr>
            <b/>
            <sz val="12"/>
            <color indexed="81"/>
            <rFont val="Meiryo UI"/>
            <family val="3"/>
            <charset val="128"/>
          </rPr>
          <t>単位（左）：区画
単位（右）：kW</t>
        </r>
      </text>
    </comment>
    <comment ref="AP11" authorId="0" shapeId="0" xr:uid="{00000000-0006-0000-0500-000025000000}">
      <text>
        <r>
          <rPr>
            <b/>
            <sz val="12"/>
            <color indexed="81"/>
            <rFont val="Meiryo UI"/>
            <family val="3"/>
            <charset val="128"/>
          </rPr>
          <t>単位：区画
定格出力を6kWで割った値（小数点以下の端数は切り捨て、1未満の場合は1とする）を設定します。基準適合判定の際、急速充電設備はこちらの値が利用されます。</t>
        </r>
      </text>
    </comment>
    <comment ref="AQ11" authorId="0" shapeId="0" xr:uid="{00000000-0006-0000-0500-000026000000}">
      <text>
        <r>
          <rPr>
            <b/>
            <sz val="12"/>
            <color indexed="81"/>
            <rFont val="Meiryo UI"/>
            <family val="3"/>
            <charset val="128"/>
          </rPr>
          <t>単位：区画</t>
        </r>
        <r>
          <rPr>
            <sz val="12"/>
            <color indexed="81"/>
            <rFont val="Meiryo UI"/>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0600-000001000000}">
      <text>
        <r>
          <rPr>
            <b/>
            <sz val="12"/>
            <color indexed="81"/>
            <rFont val="Meiryo UI"/>
            <family val="3"/>
            <charset val="128"/>
          </rPr>
          <t>自動採番される都の管理番号であり、ファイル統合や行削除で番号が変化します。</t>
        </r>
      </text>
    </comment>
    <comment ref="D8" authorId="0" shapeId="0" xr:uid="{00000000-0006-0000-0600-000002000000}">
      <text>
        <r>
          <rPr>
            <b/>
            <sz val="12"/>
            <color indexed="81"/>
            <rFont val="Meiryo UI"/>
            <family val="3"/>
            <charset val="128"/>
          </rPr>
          <t xml:space="preserve">自社システムのIDなど、管理用の番号を記載可能です（任意入力）。本列は都への報告には含まれません。
</t>
        </r>
        <r>
          <rPr>
            <sz val="12"/>
            <color indexed="81"/>
            <rFont val="Meiryo UI"/>
            <family val="3"/>
            <charset val="128"/>
          </rPr>
          <t xml:space="preserve">
</t>
        </r>
      </text>
    </comment>
    <comment ref="E8" authorId="0" shapeId="0" xr:uid="{00000000-0006-0000-0600-000003000000}">
      <text>
        <r>
          <rPr>
            <b/>
            <sz val="12"/>
            <color indexed="81"/>
            <rFont val="Meiryo UI"/>
            <family val="3"/>
            <charset val="128"/>
          </rPr>
          <t>1棟の建物内に住宅・非住宅が混在している等の理由から、住宅、非住宅の両シートに同じ建物を記載している場合、こちらの列に対応する住宅の管理番号を記載してください。</t>
        </r>
      </text>
    </comment>
    <comment ref="AQ8" authorId="0" shapeId="0" xr:uid="{00000000-0006-0000-0600-000004000000}">
      <text>
        <r>
          <rPr>
            <b/>
            <sz val="12"/>
            <color indexed="81"/>
            <rFont val="Meiryo UI"/>
            <family val="3"/>
            <charset val="128"/>
          </rPr>
          <t>選択可能な項目は下記の通りです。
・実施済
・未実施
・実施予定
・―</t>
        </r>
      </text>
    </comment>
    <comment ref="F10" authorId="0" shapeId="0" xr:uid="{00000000-0006-0000-0600-000005000000}">
      <text>
        <r>
          <rPr>
            <b/>
            <sz val="11"/>
            <color indexed="81"/>
            <rFont val="メイリオ"/>
            <family val="3"/>
            <charset val="128"/>
          </rPr>
          <t xml:space="preserve">建物の識別のため任意の名称を記載可能です（任意入力）。本列は都への報告には含まれません。
</t>
        </r>
      </text>
    </comment>
    <comment ref="G10" authorId="0" shapeId="0" xr:uid="{00000000-0006-0000-0600-000006000000}">
      <text>
        <r>
          <rPr>
            <b/>
            <sz val="12"/>
            <color indexed="81"/>
            <rFont val="Meiryo UI"/>
            <family val="3"/>
            <charset val="128"/>
          </rPr>
          <t>下記項目が選択可能です。
・事務所等
・ホテル等
・病院等
・百貨店等
・学校等
・飲食店等
・集会所等
・工場等</t>
        </r>
      </text>
    </comment>
    <comment ref="H10" authorId="0" shapeId="0" xr:uid="{00000000-0006-0000-0600-000007000000}">
      <text>
        <r>
          <rPr>
            <b/>
            <sz val="12"/>
            <color indexed="81"/>
            <rFont val="Meiryo UI"/>
            <family val="3"/>
            <charset val="128"/>
          </rPr>
          <t>東京都に存在する区市町村を選択可能です。
※島しょ部は除く</t>
        </r>
      </text>
    </comment>
    <comment ref="I10" authorId="0" shapeId="0" xr:uid="{00000000-0006-0000-0600-000008000000}">
      <text>
        <r>
          <rPr>
            <b/>
            <sz val="12"/>
            <color indexed="81"/>
            <rFont val="Meiryo UI"/>
            <family val="3"/>
            <charset val="128"/>
          </rPr>
          <t>所在地に対応する区域の区分が表示されます。</t>
        </r>
      </text>
    </comment>
    <comment ref="J10" authorId="0" shapeId="0" xr:uid="{00000000-0006-0000-0600-000009000000}">
      <text>
        <r>
          <rPr>
            <b/>
            <sz val="12"/>
            <color indexed="81"/>
            <rFont val="Meiryo UI"/>
            <family val="3"/>
            <charset val="128"/>
          </rPr>
          <t>単位：㎡
小数点第2位までの記載としてください（3位以下切り上げ）。</t>
        </r>
      </text>
    </comment>
    <comment ref="L10" authorId="0" shapeId="0" xr:uid="{00000000-0006-0000-0600-00000A000000}">
      <text>
        <r>
          <rPr>
            <b/>
            <sz val="12"/>
            <color indexed="81"/>
            <rFont val="Meiryo UI"/>
            <family val="3"/>
            <charset val="128"/>
          </rPr>
          <t>選択可能な項目は下記の通りです。
・引渡し前
・引渡し済</t>
        </r>
      </text>
    </comment>
    <comment ref="M10" authorId="0" shapeId="0" xr:uid="{00000000-0006-0000-0600-00000B000000}">
      <text>
        <r>
          <rPr>
            <b/>
            <sz val="12"/>
            <color indexed="81"/>
            <rFont val="Meiryo UI"/>
            <family val="3"/>
            <charset val="128"/>
          </rPr>
          <t>小数点第2位までの記載としてください（3位以下切り上げ）。
※ただし、「主たる用途」が「工場等」の場合、入力不可</t>
        </r>
      </text>
    </comment>
    <comment ref="N10" authorId="0" shapeId="0" xr:uid="{00000000-0006-0000-0600-00000C000000}">
      <text>
        <r>
          <rPr>
            <b/>
            <sz val="12"/>
            <color indexed="81"/>
            <rFont val="Meiryo UI"/>
            <family val="3"/>
            <charset val="128"/>
          </rPr>
          <t>BPIを基に、適合状況判定結果を表示します。
※ただし、「主たる用途」が「工場等」の場合、「－」</t>
        </r>
      </text>
    </comment>
    <comment ref="O10" authorId="0" shapeId="0" xr:uid="{00000000-0006-0000-0600-00000D000000}">
      <text>
        <r>
          <rPr>
            <b/>
            <sz val="12"/>
            <color indexed="81"/>
            <rFont val="Meiryo UI"/>
            <family val="3"/>
            <charset val="128"/>
          </rPr>
          <t>BPIを基に、適合状況判定結果を表示します。
※ただし、「主たる用途」が「工場等」の場合</t>
        </r>
        <r>
          <rPr>
            <b/>
            <sz val="9"/>
            <color indexed="81"/>
            <rFont val="MS P ゴシック"/>
            <family val="3"/>
            <charset val="128"/>
          </rPr>
          <t>、「－」</t>
        </r>
        <r>
          <rPr>
            <sz val="9"/>
            <color indexed="81"/>
            <rFont val="MS P ゴシック"/>
            <family val="3"/>
            <charset val="128"/>
          </rPr>
          <t xml:space="preserve">
</t>
        </r>
      </text>
    </comment>
    <comment ref="P10" authorId="0" shapeId="0" xr:uid="{00000000-0006-0000-0600-00000E000000}">
      <text>
        <r>
          <rPr>
            <b/>
            <sz val="12"/>
            <color indexed="81"/>
            <rFont val="Meiryo UI"/>
            <family val="3"/>
            <charset val="128"/>
          </rPr>
          <t>単位：GJ
小数点第1位までの記載としてください（2位以下切り上げ）。
なお、本項目は任意入力です。</t>
        </r>
      </text>
    </comment>
    <comment ref="Q10" authorId="0" shapeId="0" xr:uid="{00000000-0006-0000-0600-00000F000000}">
      <text>
        <r>
          <rPr>
            <b/>
            <sz val="12"/>
            <color indexed="81"/>
            <rFont val="Meiryo UI"/>
            <family val="3"/>
            <charset val="128"/>
          </rPr>
          <t>単位：GJ
小数点第1位までの記載としてください（2位以下切り上げ）。
なお、本項目は任意入力です。</t>
        </r>
      </text>
    </comment>
    <comment ref="R10" authorId="0" shapeId="0" xr:uid="{00000000-0006-0000-0600-000010000000}">
      <text>
        <r>
          <rPr>
            <b/>
            <sz val="12"/>
            <color indexed="81"/>
            <rFont val="Meiryo UI"/>
            <family val="3"/>
            <charset val="128"/>
          </rPr>
          <t xml:space="preserve">設計÷基準の値を記載するか（小数点第3位以下切り上げ）、WEBプロの算定結果を転記してください。
</t>
        </r>
      </text>
    </comment>
    <comment ref="S10" authorId="0" shapeId="0" xr:uid="{00000000-0006-0000-0600-000011000000}">
      <text>
        <r>
          <rPr>
            <b/>
            <sz val="12"/>
            <color indexed="81"/>
            <rFont val="Meiryo UI"/>
            <family val="3"/>
            <charset val="128"/>
          </rPr>
          <t>BEIを基に、適合状況判定結果を表示します。</t>
        </r>
      </text>
    </comment>
    <comment ref="T10" authorId="0" shapeId="0" xr:uid="{00000000-0006-0000-0600-000012000000}">
      <text>
        <r>
          <rPr>
            <b/>
            <sz val="12"/>
            <color indexed="81"/>
            <rFont val="Meiryo UI"/>
            <family val="3"/>
            <charset val="128"/>
          </rPr>
          <t>単位：GJ
「基準一次エネルギー消費量」の値が自動的に転記されます。</t>
        </r>
      </text>
    </comment>
    <comment ref="U10" authorId="0" shapeId="0" xr:uid="{00000000-0006-0000-0600-000013000000}">
      <text>
        <r>
          <rPr>
            <b/>
            <sz val="12"/>
            <color indexed="81"/>
            <rFont val="Meiryo UI"/>
            <family val="3"/>
            <charset val="128"/>
          </rPr>
          <t>単位：GJ
小数点第1位までの記載としてください（2位以下切り上げ）。
なお、本項目は任意入力です。</t>
        </r>
      </text>
    </comment>
    <comment ref="V10" authorId="0" shapeId="0" xr:uid="{00000000-0006-0000-0600-000014000000}">
      <text>
        <r>
          <rPr>
            <b/>
            <sz val="12"/>
            <color indexed="81"/>
            <rFont val="Meiryo UI"/>
            <family val="3"/>
            <charset val="128"/>
          </rPr>
          <t>設計÷基準の値を記載するか（小数点第3位以下切り上げ）、WEBプロの算定結果を転記してください。</t>
        </r>
      </text>
    </comment>
    <comment ref="W10" authorId="0" shapeId="0" xr:uid="{00000000-0006-0000-0600-000015000000}">
      <text>
        <r>
          <rPr>
            <b/>
            <sz val="12"/>
            <color indexed="81"/>
            <rFont val="Meiryo UI"/>
            <family val="3"/>
            <charset val="128"/>
          </rPr>
          <t>WEBプログラム（非住宅版）にて、都の誘導基準と同値である国基準への適合状況が示されるため、それをもとに適合状況を選択してください。</t>
        </r>
      </text>
    </comment>
    <comment ref="AG10" authorId="0" shapeId="0" xr:uid="{00000000-0006-0000-0600-000016000000}">
      <text>
        <r>
          <rPr>
            <b/>
            <sz val="10"/>
            <color indexed="81"/>
            <rFont val="メイリオ"/>
            <family val="3"/>
            <charset val="128"/>
          </rPr>
          <t>駐車施設の区画の有無について、以下から選択してください。
・有
　→「駐車施設の区画数」に区画数を記入してください。
・有(10区画未満)
・無</t>
        </r>
      </text>
    </comment>
    <comment ref="AH10" authorId="0" shapeId="0" xr:uid="{00000000-0006-0000-0600-000017000000}">
      <text>
        <r>
          <rPr>
            <b/>
            <sz val="12"/>
            <color indexed="81"/>
            <rFont val="Meiryo UI"/>
            <family val="3"/>
            <charset val="128"/>
          </rPr>
          <t>「駐車施設の区画の有無」を「有」とした場合、入力必須。
単位：区画</t>
        </r>
        <r>
          <rPr>
            <sz val="9"/>
            <color indexed="81"/>
            <rFont val="MS P ゴシック"/>
            <family val="3"/>
            <charset val="128"/>
          </rPr>
          <t xml:space="preserve">
</t>
        </r>
      </text>
    </comment>
    <comment ref="AO10" authorId="0" shapeId="0" xr:uid="{00000000-0006-0000-0600-000018000000}">
      <text>
        <r>
          <rPr>
            <b/>
            <sz val="12"/>
            <color indexed="81"/>
            <rFont val="Meiryo UI"/>
            <family val="3"/>
            <charset val="128"/>
          </rPr>
          <t>各設備の整備数を基に、適合状況判定結果を表示します。</t>
        </r>
      </text>
    </comment>
    <comment ref="AP10" authorId="0" shapeId="0" xr:uid="{00000000-0006-0000-0600-000019000000}">
      <text>
        <r>
          <rPr>
            <b/>
            <sz val="12"/>
            <color indexed="81"/>
            <rFont val="Meiryo UI"/>
            <family val="3"/>
            <charset val="128"/>
          </rPr>
          <t>各設備の整備数を基に、適合状況判定結果を表示します。</t>
        </r>
      </text>
    </comment>
    <comment ref="Y11" authorId="0" shapeId="0" xr:uid="{00000000-0006-0000-0600-00001A000000}">
      <text>
        <r>
          <rPr>
            <b/>
            <sz val="12"/>
            <color indexed="81"/>
            <rFont val="Meiryo UI"/>
            <family val="3"/>
            <charset val="128"/>
          </rPr>
          <t>下記項目が選択可能です。
・屋根面積
・その他
※該当有無が「該当有」の場合のみ選択可能</t>
        </r>
      </text>
    </comment>
    <comment ref="Z11" authorId="0" shapeId="0" xr:uid="{00000000-0006-0000-0600-00001B000000}">
      <text>
        <r>
          <rPr>
            <b/>
            <sz val="11"/>
            <color indexed="81"/>
            <rFont val="メイリオ"/>
            <family val="3"/>
            <charset val="128"/>
          </rPr>
          <t>最も大きい南面等屋根の種類を選択してください。
※該当事項が「屋根面積」の場合のみ入力</t>
        </r>
      </text>
    </comment>
    <comment ref="AA11" authorId="0" shapeId="0" xr:uid="{00000000-0006-0000-0600-00001C000000}">
      <text>
        <r>
          <rPr>
            <b/>
            <sz val="11"/>
            <color indexed="81"/>
            <rFont val="メイリオ"/>
            <family val="3"/>
            <charset val="128"/>
          </rPr>
          <t>最も大きい南面等屋根の面積を記入してください。
単位：㎡
小数点第2位までの記載としてください（3位以下切り捨て）。
※該当事項が「屋根面積」の場合のみ入力</t>
        </r>
      </text>
    </comment>
    <comment ref="AB11" authorId="0" shapeId="0" xr:uid="{00000000-0006-0000-0600-00001D000000}">
      <text>
        <r>
          <rPr>
            <b/>
            <sz val="11"/>
            <color indexed="81"/>
            <rFont val="メイリオ"/>
            <family val="3"/>
            <charset val="128"/>
          </rPr>
          <t>2番目に大きい南面等屋根がある場合、その種類を選択してください。
※該当事項が「屋根面積」の場合のみ入力</t>
        </r>
      </text>
    </comment>
    <comment ref="AC11" authorId="0" shapeId="0" xr:uid="{00000000-0006-0000-0600-00001E000000}">
      <text>
        <r>
          <rPr>
            <b/>
            <sz val="11"/>
            <color indexed="81"/>
            <rFont val="メイリオ"/>
            <family val="3"/>
            <charset val="128"/>
          </rPr>
          <t>2番目に大きい南面等屋根がある場合、その面積を記入してください。
単位：㎡
小数点第2位までの記載としてください（3位以下切り捨て）。
※該当事項が「屋根面積」の場合のみ入力</t>
        </r>
      </text>
    </comment>
    <comment ref="AD11" authorId="0" shapeId="0" xr:uid="{00000000-0006-0000-0600-00001F000000}">
      <text>
        <r>
          <rPr>
            <b/>
            <sz val="12"/>
            <color indexed="81"/>
            <rFont val="Meiryo UI"/>
            <family val="3"/>
            <charset val="128"/>
          </rPr>
          <t>単位：kW</t>
        </r>
      </text>
    </comment>
    <comment ref="AE11" authorId="0" shapeId="0" xr:uid="{00000000-0006-0000-0600-000020000000}">
      <text>
        <r>
          <rPr>
            <b/>
            <sz val="12"/>
            <color indexed="81"/>
            <rFont val="Meiryo UI"/>
            <family val="3"/>
            <charset val="128"/>
          </rPr>
          <t>単位：kW</t>
        </r>
      </text>
    </comment>
    <comment ref="AF11" authorId="0" shapeId="0" xr:uid="{00000000-0006-0000-0600-000021000000}">
      <text>
        <r>
          <rPr>
            <b/>
            <sz val="12"/>
            <color indexed="81"/>
            <rFont val="Meiryo UI"/>
            <family val="3"/>
            <charset val="128"/>
          </rPr>
          <t>単位：kW</t>
        </r>
        <r>
          <rPr>
            <sz val="9"/>
            <color indexed="81"/>
            <rFont val="MS P ゴシック"/>
            <family val="3"/>
            <charset val="128"/>
          </rPr>
          <t xml:space="preserve">
</t>
        </r>
      </text>
    </comment>
    <comment ref="AI11" authorId="0" shapeId="0" xr:uid="{00000000-0006-0000-0600-000022000000}">
      <text>
        <r>
          <rPr>
            <b/>
            <sz val="12"/>
            <color indexed="81"/>
            <rFont val="Meiryo UI"/>
            <family val="3"/>
            <charset val="128"/>
          </rPr>
          <t>単位：区画</t>
        </r>
        <r>
          <rPr>
            <sz val="12"/>
            <color indexed="81"/>
            <rFont val="Meiryo UI"/>
            <family val="3"/>
            <charset val="128"/>
          </rPr>
          <t xml:space="preserve">
</t>
        </r>
      </text>
    </comment>
    <comment ref="AJ11" authorId="0" shapeId="0" xr:uid="{00000000-0006-0000-0600-000023000000}">
      <text>
        <r>
          <rPr>
            <b/>
            <sz val="12"/>
            <color indexed="81"/>
            <rFont val="Meiryo UI"/>
            <family val="3"/>
            <charset val="128"/>
          </rPr>
          <t>単位：区画</t>
        </r>
        <r>
          <rPr>
            <sz val="12"/>
            <color indexed="81"/>
            <rFont val="Meiryo UI"/>
            <family val="3"/>
            <charset val="128"/>
          </rPr>
          <t xml:space="preserve">
</t>
        </r>
      </text>
    </comment>
    <comment ref="AK11" authorId="0" shapeId="0" xr:uid="{00000000-0006-0000-0600-000024000000}">
      <text>
        <r>
          <rPr>
            <b/>
            <sz val="12"/>
            <color indexed="81"/>
            <rFont val="Meiryo UI"/>
            <family val="3"/>
            <charset val="128"/>
          </rPr>
          <t>単位（左）：区画
単位（右）：kW
Kwは小数点第2位までの記載としてください（3位以下切り上げ）。</t>
        </r>
      </text>
    </comment>
    <comment ref="AM11" authorId="0" shapeId="0" xr:uid="{00000000-0006-0000-0600-000025000000}">
      <text>
        <r>
          <rPr>
            <b/>
            <sz val="12"/>
            <color indexed="81"/>
            <rFont val="Meiryo UI"/>
            <family val="3"/>
            <charset val="128"/>
          </rPr>
          <t>単位：区画
定格出力を6kWで割った値（小数点以下の端数は切り捨て、1未満の場合は1とする）を設定します。基準適合判定の際、急速充電設備はこちらの値が利用されます。</t>
        </r>
      </text>
    </comment>
    <comment ref="AN11" authorId="0" shapeId="0" xr:uid="{00000000-0006-0000-0600-000026000000}">
      <text>
        <r>
          <rPr>
            <b/>
            <sz val="12"/>
            <color indexed="81"/>
            <rFont val="Meiryo UI"/>
            <family val="3"/>
            <charset val="128"/>
          </rPr>
          <t>単位：区画</t>
        </r>
        <r>
          <rPr>
            <sz val="12"/>
            <color indexed="81"/>
            <rFont val="Meiryo UI"/>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00000000-0006-0000-0700-000001000000}">
      <text>
        <r>
          <rPr>
            <b/>
            <sz val="9"/>
            <color indexed="81"/>
            <rFont val="Meiryo UI"/>
            <family val="3"/>
            <charset val="128"/>
          </rPr>
          <t>自動採番される都の管理番号であり、ファイル統合や行削除で番号が変化します。</t>
        </r>
      </text>
    </comment>
    <comment ref="D7" authorId="0" shapeId="0" xr:uid="{00000000-0006-0000-0700-000002000000}">
      <text>
        <r>
          <rPr>
            <b/>
            <sz val="9"/>
            <color indexed="81"/>
            <rFont val="Meiryo UI"/>
            <family val="3"/>
            <charset val="128"/>
          </rPr>
          <t>自社システムのIDなど、管理用の番号を記載可能です（任意入力）。</t>
        </r>
      </text>
    </comment>
    <comment ref="F7" authorId="0" shapeId="0" xr:uid="{00000000-0006-0000-0700-000003000000}">
      <text>
        <r>
          <rPr>
            <b/>
            <sz val="9"/>
            <color indexed="81"/>
            <rFont val="Meiryo UI"/>
            <family val="3"/>
            <charset val="128"/>
          </rPr>
          <t>下記項目が選択可能です。
・戸建住宅
・共同住宅
・非住宅</t>
        </r>
        <r>
          <rPr>
            <sz val="9"/>
            <color indexed="81"/>
            <rFont val="MS P ゴシック"/>
            <family val="3"/>
            <charset val="128"/>
          </rPr>
          <t xml:space="preserve">
</t>
        </r>
      </text>
    </comment>
    <comment ref="G7" authorId="0" shapeId="0" xr:uid="{00000000-0006-0000-0700-000004000000}">
      <text>
        <r>
          <rPr>
            <b/>
            <sz val="9"/>
            <color indexed="81"/>
            <rFont val="Meiryo UI"/>
            <family val="3"/>
            <charset val="128"/>
          </rPr>
          <t>東京都に存在する区市町村を選択可能です。
※島しょ部は除く</t>
        </r>
      </text>
    </comment>
    <comment ref="K7" authorId="0" shapeId="0" xr:uid="{00000000-0006-0000-0700-000005000000}">
      <text>
        <r>
          <rPr>
            <b/>
            <sz val="9"/>
            <color indexed="81"/>
            <rFont val="Meiryo UI"/>
            <family val="3"/>
            <charset val="128"/>
          </rPr>
          <t>既存建築物の引渡し日等を記入してください。</t>
        </r>
      </text>
    </comment>
    <comment ref="L7" authorId="0" shapeId="0" xr:uid="{00000000-0006-0000-0700-000006000000}">
      <text>
        <r>
          <rPr>
            <b/>
            <sz val="9"/>
            <color indexed="81"/>
            <rFont val="Meiryo UI"/>
            <family val="3"/>
            <charset val="128"/>
          </rPr>
          <t>再エネ利用設備の設置日等を記入してください。</t>
        </r>
        <r>
          <rPr>
            <sz val="9"/>
            <color indexed="81"/>
            <rFont val="Meiryo UI"/>
            <family val="3"/>
            <charset val="128"/>
          </rPr>
          <t xml:space="preserve">
</t>
        </r>
      </text>
    </comment>
    <comment ref="H8" authorId="0" shapeId="0" xr:uid="{00000000-0006-0000-0700-000007000000}">
      <text>
        <r>
          <rPr>
            <b/>
            <sz val="9"/>
            <color indexed="81"/>
            <rFont val="Meiryo UI"/>
            <family val="3"/>
            <charset val="128"/>
          </rPr>
          <t>単位：kW</t>
        </r>
      </text>
    </comment>
    <comment ref="I8" authorId="0" shapeId="0" xr:uid="{00000000-0006-0000-0700-000008000000}">
      <text>
        <r>
          <rPr>
            <b/>
            <sz val="9"/>
            <color indexed="81"/>
            <rFont val="Meiryo UI"/>
            <family val="3"/>
            <charset val="128"/>
          </rPr>
          <t>単位：kW</t>
        </r>
      </text>
    </comment>
    <comment ref="J8" authorId="0" shapeId="0" xr:uid="{00000000-0006-0000-0700-000009000000}">
      <text>
        <r>
          <rPr>
            <b/>
            <sz val="9"/>
            <color indexed="81"/>
            <rFont val="Meiryo UI"/>
            <family val="3"/>
            <charset val="128"/>
          </rPr>
          <t>単位：kW</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00000000-0006-0000-0800-000001000000}">
      <text>
        <r>
          <rPr>
            <b/>
            <sz val="9"/>
            <color indexed="81"/>
            <rFont val="Meiryo UI"/>
            <family val="3"/>
            <charset val="128"/>
          </rPr>
          <t>区域区分ごとの「設置可能棟数×算定基準率×棟当たり基準量（2kW）」の合計値が表示されます。
※小数点以下切り捨て</t>
        </r>
      </text>
    </comment>
    <comment ref="L5" authorId="0" shapeId="0" xr:uid="{00000000-0006-0000-0800-000002000000}">
      <text>
        <r>
          <rPr>
            <b/>
            <sz val="9"/>
            <color indexed="81"/>
            <rFont val="Meiryo UI"/>
            <family val="3"/>
            <charset val="128"/>
          </rPr>
          <t>区域区分ごとの「設置可能棟数×算定基準率×棟当たり基準量（4kW or 5kW）」の合計値が表示されます。
※小数点以下切り捨て</t>
        </r>
      </text>
    </comment>
    <comment ref="M5" authorId="0" shapeId="0" xr:uid="{00000000-0006-0000-0800-000003000000}">
      <text>
        <r>
          <rPr>
            <b/>
            <sz val="9"/>
            <color indexed="81"/>
            <rFont val="Meiryo UI"/>
            <family val="3"/>
            <charset val="128"/>
          </rPr>
          <t>「再生可能エネルギー利用設備設置基準×20％」の値が表示されます。
※小数点以下切り捨て</t>
        </r>
      </text>
    </comment>
    <comment ref="F6" authorId="0" shapeId="0" xr:uid="{00000000-0006-0000-0800-000004000000}">
      <text>
        <r>
          <rPr>
            <b/>
            <sz val="9"/>
            <color indexed="81"/>
            <rFont val="Meiryo UI"/>
            <family val="3"/>
            <charset val="128"/>
          </rPr>
          <t>区域区分ごとに、その4シート「基準算定から除く建築物」の「該当有無」が「該当有」の合計件数が表示されます。</t>
        </r>
      </text>
    </comment>
    <comment ref="G6" authorId="0" shapeId="0" xr:uid="{00000000-0006-0000-0800-000005000000}">
      <text>
        <r>
          <rPr>
            <b/>
            <sz val="9"/>
            <color indexed="81"/>
            <rFont val="Meiryo UI"/>
            <family val="3"/>
            <charset val="128"/>
          </rPr>
          <t>「新たに建設し、又は新築しようとした棟数」から「基準の算定から除く建築物の棟数」を差し引いた値が表示されます。</t>
        </r>
      </text>
    </comment>
    <comment ref="I6" authorId="0" shapeId="0" xr:uid="{00000000-0006-0000-0800-000006000000}">
      <text>
        <r>
          <rPr>
            <b/>
            <sz val="9"/>
            <color indexed="81"/>
            <rFont val="Meiryo UI"/>
            <family val="3"/>
            <charset val="128"/>
          </rPr>
          <t>区域区分ごとに、その4シート「基準算定から除く建築物」の「該当有無」が「該当有」の合計件数が表示されます。</t>
        </r>
      </text>
    </comment>
    <comment ref="J6" authorId="0" shapeId="0" xr:uid="{00000000-0006-0000-0800-000007000000}">
      <text>
        <r>
          <rPr>
            <b/>
            <sz val="9"/>
            <color indexed="81"/>
            <rFont val="Meiryo UI"/>
            <family val="3"/>
            <charset val="128"/>
          </rPr>
          <t>「新たに建設し、又は新築しようとした棟数」から「基準の算定から除く建築物の棟数」を差し引いた値が表示されます。</t>
        </r>
      </text>
    </comment>
    <comment ref="K13" authorId="0" shapeId="0" xr:uid="{00000000-0006-0000-0800-000008000000}">
      <text>
        <r>
          <rPr>
            <b/>
            <sz val="9"/>
            <color indexed="81"/>
            <rFont val="Meiryo UI"/>
            <family val="3"/>
            <charset val="128"/>
          </rPr>
          <t>「設置可能棟数×算定基準率×棟当たり基準量（2kW）」の値が表示されます。
※小数点以下切り捨て</t>
        </r>
      </text>
    </comment>
    <comment ref="L13" authorId="0" shapeId="0" xr:uid="{00000000-0006-0000-0800-000009000000}">
      <text>
        <r>
          <rPr>
            <b/>
            <sz val="9"/>
            <color indexed="81"/>
            <rFont val="Meiryo UI"/>
            <family val="3"/>
            <charset val="128"/>
          </rPr>
          <t>「設置可能棟数×算定基準率×棟当たり基準量（4kW or 5kW）」の合計値が表示されます。
※小数点以下切り捨て</t>
        </r>
      </text>
    </comment>
    <comment ref="M13" authorId="0" shapeId="0" xr:uid="{00000000-0006-0000-0800-00000A000000}">
      <text>
        <r>
          <rPr>
            <b/>
            <sz val="9"/>
            <color indexed="81"/>
            <rFont val="Meiryo UI"/>
            <family val="3"/>
            <charset val="128"/>
          </rPr>
          <t>「再生可能エネルギー利用設備設置基準×20％」の値が表示されます。
※小数点以下切り捨て</t>
        </r>
      </text>
    </comment>
    <comment ref="F14" authorId="0" shapeId="0" xr:uid="{00000000-0006-0000-0800-00000B000000}">
      <text>
        <r>
          <rPr>
            <b/>
            <sz val="9"/>
            <color indexed="81"/>
            <rFont val="Meiryo UI"/>
            <family val="3"/>
            <charset val="128"/>
          </rPr>
          <t>その4シート「基準算定から除く建築物」の「該当有無」が「該当有」の合計件数が表示されます。</t>
        </r>
      </text>
    </comment>
    <comment ref="G14" authorId="0" shapeId="0" xr:uid="{00000000-0006-0000-0800-00000C000000}">
      <text>
        <r>
          <rPr>
            <b/>
            <sz val="9"/>
            <color indexed="81"/>
            <rFont val="Meiryo UI"/>
            <family val="3"/>
            <charset val="128"/>
          </rPr>
          <t>「新たに建設し、又は新築しようとした棟数」から「基準の算定から除く建築物の棟数」を差し引いた値が表示されます。</t>
        </r>
      </text>
    </comment>
    <comment ref="I14" authorId="0" shapeId="0" xr:uid="{00000000-0006-0000-0800-00000D000000}">
      <text>
        <r>
          <rPr>
            <b/>
            <sz val="9"/>
            <color indexed="81"/>
            <rFont val="Meiryo UI"/>
            <family val="3"/>
            <charset val="128"/>
          </rPr>
          <t>その4シート「基準算定から除く建築物」の「該当有無」が「該当有」の合計件数が表示されます。</t>
        </r>
      </text>
    </comment>
    <comment ref="J14" authorId="0" shapeId="0" xr:uid="{00000000-0006-0000-0800-00000E000000}">
      <text>
        <r>
          <rPr>
            <b/>
            <sz val="9"/>
            <color indexed="81"/>
            <rFont val="Meiryo UI"/>
            <family val="3"/>
            <charset val="128"/>
          </rPr>
          <t>「新たに建設し、又は新築しようとした棟数」から「基準の算定から除く建築物の棟数」を差し引いた値が表示されます。</t>
        </r>
      </text>
    </comment>
    <comment ref="C18" authorId="0" shapeId="0" xr:uid="{00000000-0006-0000-0800-00000F000000}">
      <text>
        <r>
          <rPr>
            <b/>
            <sz val="9"/>
            <color indexed="81"/>
            <rFont val="Meiryo UI"/>
            <family val="3"/>
            <charset val="128"/>
          </rPr>
          <t>（1）と（2）の「再生可能エネルギー利用設備設置基準」 の内、小さい方の値が表示されます。</t>
        </r>
      </text>
    </comment>
    <comment ref="C19" authorId="0" shapeId="0" xr:uid="{00000000-0006-0000-0800-000010000000}">
      <text>
        <r>
          <rPr>
            <b/>
            <sz val="9"/>
            <color indexed="81"/>
            <rFont val="Meiryo UI"/>
            <family val="3"/>
            <charset val="128"/>
          </rPr>
          <t>（1）と（2）の「誘導すべき再生可能エネルギー利用設備設置基準」 の内、小さい方の値が表示されます。</t>
        </r>
      </text>
    </comment>
    <comment ref="C21" authorId="0" shapeId="0" xr:uid="{00000000-0006-0000-0800-000011000000}">
      <text>
        <r>
          <rPr>
            <b/>
            <sz val="9"/>
            <color indexed="81"/>
            <rFont val="Meiryo UI"/>
            <family val="3"/>
            <charset val="128"/>
          </rPr>
          <t>その4シートの「再エネ利用設備の設置容量」の合計値が表示されます。</t>
        </r>
      </text>
    </comment>
    <comment ref="C23" authorId="0" shapeId="0" xr:uid="{00000000-0006-0000-0800-000012000000}">
      <text>
        <r>
          <rPr>
            <b/>
            <sz val="9"/>
            <color indexed="81"/>
            <rFont val="Meiryo UI"/>
            <family val="3"/>
            <charset val="128"/>
          </rPr>
          <t>「再生可能エネルギー利用設備設置基準」から「中小規模特定建築物等における設置容量」を差し引いた値が表示されます。
※ただし、値がマイナス値になる場合は0.00を表示</t>
        </r>
      </text>
    </comment>
    <comment ref="C24" authorId="0" shapeId="0" xr:uid="{00000000-0006-0000-0800-000013000000}">
      <text>
        <r>
          <rPr>
            <b/>
            <sz val="9"/>
            <color indexed="81"/>
            <rFont val="Meiryo UI"/>
            <family val="3"/>
            <charset val="128"/>
          </rPr>
          <t>「誘導すべき再生可能エネルギー利用設備設置基準」から「中小規模特定建築物等における設置容量」を差し引いた値が表示されます。
※ただし、値がマイナス値になる場合は0.00を表示</t>
        </r>
        <r>
          <rPr>
            <sz val="9"/>
            <color indexed="81"/>
            <rFont val="MS P ゴシック"/>
            <family val="3"/>
            <charset val="128"/>
          </rPr>
          <t xml:space="preserve">
</t>
        </r>
      </text>
    </comment>
    <comment ref="C26" authorId="0" shapeId="0" xr:uid="{00000000-0006-0000-0800-000014000000}">
      <text>
        <r>
          <rPr>
            <b/>
            <sz val="9"/>
            <color indexed="81"/>
            <rFont val="Meiryo UI"/>
            <family val="3"/>
            <charset val="128"/>
          </rPr>
          <t>「既存建築物等における新設容量（新設した全量）」と「既存建築物等への新設における上限量」の内、小さい方の値が表示されます。</t>
        </r>
      </text>
    </comment>
    <comment ref="C27" authorId="0" shapeId="0" xr:uid="{00000000-0006-0000-0800-000015000000}">
      <text>
        <r>
          <rPr>
            <b/>
            <sz val="9"/>
            <color indexed="81"/>
            <rFont val="Meiryo UI"/>
            <family val="3"/>
            <charset val="128"/>
          </rPr>
          <t>その5シートの「再生可能エネルギー利用設備の新設容量」の合計値が表示されます。</t>
        </r>
        <r>
          <rPr>
            <sz val="9"/>
            <color indexed="81"/>
            <rFont val="MS P ゴシック"/>
            <family val="3"/>
            <charset val="128"/>
          </rPr>
          <t xml:space="preserve">
</t>
        </r>
      </text>
    </comment>
    <comment ref="C29" authorId="0" shapeId="0" xr:uid="{00000000-0006-0000-0800-000016000000}">
      <text>
        <r>
          <rPr>
            <b/>
            <sz val="9"/>
            <color indexed="81"/>
            <rFont val="Meiryo UI"/>
            <family val="3"/>
            <charset val="128"/>
          </rPr>
          <t>「中小規模特定建築物等における設置容量」と「既存建築物等における新設容量（上限量まで）」の合計値が「再生可能エネルギー利用設備設置基準」 に到達しているかを判定します。</t>
        </r>
      </text>
    </comment>
    <comment ref="C30" authorId="0" shapeId="0" xr:uid="{00000000-0006-0000-0800-000017000000}">
      <text>
        <r>
          <rPr>
            <b/>
            <sz val="9"/>
            <color indexed="81"/>
            <rFont val="Meiryo UI"/>
            <family val="3"/>
            <charset val="128"/>
          </rPr>
          <t>「中小規模特定建築物等における設置容量」と「既存建築物等における新設容量（新設した全量）」の合計値が「誘導すべき再生可能エネルギー利用設備設置基準」 に到達しているかを判定します。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900-000001000000}">
      <text>
        <r>
          <rPr>
            <sz val="11"/>
            <color theme="1"/>
            <rFont val="游ゴシック"/>
            <family val="2"/>
            <charset val="128"/>
            <scheme val="minor"/>
          </rPr>
          <t>東京都:
ＵＡ値を算出している場合、住宅仕様基準の適合は「－」を入力します。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<sst xmlns="http://schemas.openxmlformats.org/spreadsheetml/2006/main" count="830" uniqueCount="481">
  <si>
    <t>別記第２号様式　その１</t>
    <phoneticPr fontId="1"/>
  </si>
  <si>
    <t>建築物環境報告書</t>
    <rPh sb="0" eb="8">
      <t>ケンチクブツカンキョウホウコクショ</t>
    </rPh>
    <phoneticPr fontId="1"/>
  </si>
  <si>
    <t>１　建物供給事業者の氏名及び住所</t>
    <rPh sb="2" eb="4">
      <t>タテモノ</t>
    </rPh>
    <rPh sb="4" eb="6">
      <t>キョウキュウ</t>
    </rPh>
    <rPh sb="6" eb="9">
      <t>ジギョウシャ</t>
    </rPh>
    <rPh sb="10" eb="12">
      <t>シメイ</t>
    </rPh>
    <rPh sb="12" eb="13">
      <t>オヨ</t>
    </rPh>
    <rPh sb="14" eb="16">
      <t>ジュウショ</t>
    </rPh>
    <phoneticPr fontId="1"/>
  </si>
  <si>
    <t>建物供給事業者</t>
    <rPh sb="0" eb="2">
      <t>タテモノ</t>
    </rPh>
    <rPh sb="2" eb="4">
      <t>キョウキュウ</t>
    </rPh>
    <rPh sb="4" eb="7">
      <t>ジギョウシャ</t>
    </rPh>
    <phoneticPr fontId="1"/>
  </si>
  <si>
    <t>氏名（法人にあっては、名称及び代表者の氏名）</t>
    <rPh sb="0" eb="2">
      <t>シメイ</t>
    </rPh>
    <rPh sb="3" eb="5">
      <t>ホウジン</t>
    </rPh>
    <rPh sb="11" eb="13">
      <t>メイショウ</t>
    </rPh>
    <rPh sb="13" eb="14">
      <t>オヨ</t>
    </rPh>
    <rPh sb="15" eb="18">
      <t>ダイヒョウシャ</t>
    </rPh>
    <rPh sb="19" eb="21">
      <t>シメイ</t>
    </rPh>
    <phoneticPr fontId="1"/>
  </si>
  <si>
    <t>住所（法人にあっては、主たる事業所の所在地）</t>
    <rPh sb="0" eb="2">
      <t>ジュウショ</t>
    </rPh>
    <rPh sb="3" eb="5">
      <t>ホウジン</t>
    </rPh>
    <rPh sb="11" eb="12">
      <t>シュ</t>
    </rPh>
    <rPh sb="14" eb="17">
      <t>ジギョウショ</t>
    </rPh>
    <rPh sb="18" eb="21">
      <t>ショザイチ</t>
    </rPh>
    <phoneticPr fontId="1"/>
  </si>
  <si>
    <t>建物供給事業者
（代表申請者）</t>
    <rPh sb="0" eb="2">
      <t>タテモノ</t>
    </rPh>
    <rPh sb="2" eb="4">
      <t>キョウキュウ</t>
    </rPh>
    <rPh sb="4" eb="7">
      <t>ジギョウシャ</t>
    </rPh>
    <rPh sb="9" eb="11">
      <t>ダイヒョウ</t>
    </rPh>
    <rPh sb="11" eb="14">
      <t>シンセイシャ</t>
    </rPh>
    <phoneticPr fontId="1"/>
  </si>
  <si>
    <t>報告書の担当者</t>
    <rPh sb="0" eb="3">
      <t>ホウコクショ</t>
    </rPh>
    <rPh sb="4" eb="6">
      <t>タントウ</t>
    </rPh>
    <rPh sb="6" eb="7">
      <t>シャ</t>
    </rPh>
    <phoneticPr fontId="1"/>
  </si>
  <si>
    <t>氏名</t>
    <rPh sb="0" eb="2">
      <t>シメイ</t>
    </rPh>
    <phoneticPr fontId="1"/>
  </si>
  <si>
    <t>連絡先</t>
    <rPh sb="0" eb="3">
      <t>レンラクサキ</t>
    </rPh>
    <phoneticPr fontId="1"/>
  </si>
  <si>
    <t>報告対象年度における住宅トップランナーの区分</t>
    <rPh sb="10" eb="12">
      <t>ジュウタク</t>
    </rPh>
    <rPh sb="20" eb="22">
      <t>クブン</t>
    </rPh>
    <phoneticPr fontId="1"/>
  </si>
  <si>
    <t>制度の対象区分</t>
    <rPh sb="0" eb="2">
      <t>セイド</t>
    </rPh>
    <rPh sb="3" eb="5">
      <t>タイショウ</t>
    </rPh>
    <rPh sb="5" eb="7">
      <t>クブン</t>
    </rPh>
    <phoneticPr fontId="1"/>
  </si>
  <si>
    <t>２　都内において新たに建設し、又は新築しようとした中小規模特定建築物の棟数及び延べ面積の合計</t>
    <rPh sb="2" eb="4">
      <t>トナイ</t>
    </rPh>
    <rPh sb="8" eb="9">
      <t>アラ</t>
    </rPh>
    <rPh sb="11" eb="13">
      <t>ケンセツ</t>
    </rPh>
    <rPh sb="15" eb="16">
      <t>マタ</t>
    </rPh>
    <rPh sb="17" eb="19">
      <t>シンチク</t>
    </rPh>
    <rPh sb="25" eb="27">
      <t>チュウショウ</t>
    </rPh>
    <rPh sb="27" eb="29">
      <t>キボ</t>
    </rPh>
    <rPh sb="29" eb="31">
      <t>トクテイ</t>
    </rPh>
    <rPh sb="31" eb="34">
      <t>ケンチクブツ</t>
    </rPh>
    <rPh sb="35" eb="37">
      <t>トウスウ</t>
    </rPh>
    <rPh sb="37" eb="38">
      <t>オヨ</t>
    </rPh>
    <rPh sb="39" eb="40">
      <t>ノ</t>
    </rPh>
    <rPh sb="41" eb="43">
      <t>メンセキ</t>
    </rPh>
    <rPh sb="44" eb="46">
      <t>ゴウケイ</t>
    </rPh>
    <phoneticPr fontId="1"/>
  </si>
  <si>
    <t>報告対象年度</t>
    <phoneticPr fontId="1"/>
  </si>
  <si>
    <t>棟数</t>
    <rPh sb="0" eb="2">
      <t>トウスウ</t>
    </rPh>
    <phoneticPr fontId="1"/>
  </si>
  <si>
    <t>３　都内において新たに建設し、又は新築しようとする中小規模特定建築物の棟数及び延べ面積の合計</t>
    <rPh sb="2" eb="4">
      <t>トナイ</t>
    </rPh>
    <rPh sb="8" eb="9">
      <t>アラ</t>
    </rPh>
    <rPh sb="11" eb="13">
      <t>ケンセツ</t>
    </rPh>
    <rPh sb="15" eb="16">
      <t>マタ</t>
    </rPh>
    <rPh sb="17" eb="19">
      <t>シンチク</t>
    </rPh>
    <rPh sb="25" eb="27">
      <t>チュウショウ</t>
    </rPh>
    <rPh sb="27" eb="29">
      <t>キボ</t>
    </rPh>
    <rPh sb="29" eb="31">
      <t>トクテイ</t>
    </rPh>
    <rPh sb="31" eb="34">
      <t>ケンチクブツ</t>
    </rPh>
    <rPh sb="35" eb="37">
      <t>トウスウ</t>
    </rPh>
    <rPh sb="37" eb="38">
      <t>オヨ</t>
    </rPh>
    <rPh sb="39" eb="40">
      <t>ノ</t>
    </rPh>
    <rPh sb="41" eb="43">
      <t>メンセキ</t>
    </rPh>
    <rPh sb="44" eb="46">
      <t>ゴウケイ</t>
    </rPh>
    <phoneticPr fontId="1"/>
  </si>
  <si>
    <t>建築物環境報告書を提出する日の属する年度</t>
    <phoneticPr fontId="1"/>
  </si>
  <si>
    <t>４　省エネルギー性能基準に対する適合状況</t>
    <rPh sb="8" eb="10">
      <t>セイノウ</t>
    </rPh>
    <rPh sb="10" eb="12">
      <t>キジュン</t>
    </rPh>
    <rPh sb="13" eb="14">
      <t>タイ</t>
    </rPh>
    <rPh sb="16" eb="18">
      <t>テキゴウ</t>
    </rPh>
    <rPh sb="18" eb="20">
      <t>ジョウキョウ</t>
    </rPh>
    <phoneticPr fontId="1"/>
  </si>
  <si>
    <t>５　誘導すべき省エネルギー性能基準に対する適合状況</t>
    <rPh sb="2" eb="4">
      <t>ユウドウ</t>
    </rPh>
    <rPh sb="13" eb="15">
      <t>セイノウ</t>
    </rPh>
    <rPh sb="15" eb="17">
      <t>キジュン</t>
    </rPh>
    <rPh sb="18" eb="19">
      <t>タイ</t>
    </rPh>
    <rPh sb="21" eb="23">
      <t>テキゴウ</t>
    </rPh>
    <rPh sb="23" eb="25">
      <t>ジョウキョウ</t>
    </rPh>
    <phoneticPr fontId="1"/>
  </si>
  <si>
    <t>６　再生可能エネルギー利用設備設置基準に対する適合状況</t>
    <rPh sb="2" eb="4">
      <t>サイセイ</t>
    </rPh>
    <rPh sb="4" eb="6">
      <t>カノウ</t>
    </rPh>
    <rPh sb="11" eb="13">
      <t>リヨウ</t>
    </rPh>
    <rPh sb="13" eb="15">
      <t>セツビ</t>
    </rPh>
    <rPh sb="15" eb="17">
      <t>セッチ</t>
    </rPh>
    <rPh sb="17" eb="19">
      <t>キジュン</t>
    </rPh>
    <rPh sb="20" eb="21">
      <t>タイ</t>
    </rPh>
    <rPh sb="23" eb="25">
      <t>テキゴウ</t>
    </rPh>
    <rPh sb="25" eb="27">
      <t>ジョウキョウ</t>
    </rPh>
    <phoneticPr fontId="1"/>
  </si>
  <si>
    <t>７　誘導すべき再生可能エネルギー利用設備設置基準に対する適合状況</t>
    <rPh sb="2" eb="4">
      <t>ユウドウ</t>
    </rPh>
    <rPh sb="7" eb="9">
      <t>サイセイ</t>
    </rPh>
    <rPh sb="9" eb="11">
      <t>カノウ</t>
    </rPh>
    <rPh sb="16" eb="18">
      <t>リヨウ</t>
    </rPh>
    <rPh sb="18" eb="20">
      <t>セツビ</t>
    </rPh>
    <rPh sb="20" eb="22">
      <t>セッチ</t>
    </rPh>
    <rPh sb="22" eb="24">
      <t>キジュン</t>
    </rPh>
    <rPh sb="25" eb="26">
      <t>タイ</t>
    </rPh>
    <rPh sb="28" eb="30">
      <t>テキゴウ</t>
    </rPh>
    <rPh sb="30" eb="32">
      <t>ジョウキョウ</t>
    </rPh>
    <phoneticPr fontId="1"/>
  </si>
  <si>
    <t>８　電気自動車充電設備整備基準に対する適合状況</t>
    <rPh sb="2" eb="4">
      <t>デンキ</t>
    </rPh>
    <rPh sb="4" eb="7">
      <t>ジドウシャ</t>
    </rPh>
    <rPh sb="7" eb="9">
      <t>ジュウデン</t>
    </rPh>
    <rPh sb="9" eb="11">
      <t>セツビ</t>
    </rPh>
    <rPh sb="11" eb="13">
      <t>セイビ</t>
    </rPh>
    <rPh sb="13" eb="15">
      <t>キジュン</t>
    </rPh>
    <rPh sb="16" eb="17">
      <t>タイ</t>
    </rPh>
    <rPh sb="19" eb="21">
      <t>テキゴウ</t>
    </rPh>
    <rPh sb="21" eb="23">
      <t>ジョウキョウ</t>
    </rPh>
    <phoneticPr fontId="1"/>
  </si>
  <si>
    <t>９　誘導すべき電気自動車充電設備整備基準に対する適合状況</t>
    <rPh sb="2" eb="4">
      <t>ユウドウ</t>
    </rPh>
    <rPh sb="7" eb="9">
      <t>デンキ</t>
    </rPh>
    <rPh sb="9" eb="12">
      <t>ジドウシャ</t>
    </rPh>
    <rPh sb="12" eb="14">
      <t>ジュウデン</t>
    </rPh>
    <rPh sb="14" eb="16">
      <t>セツビ</t>
    </rPh>
    <rPh sb="16" eb="18">
      <t>セイビ</t>
    </rPh>
    <rPh sb="18" eb="20">
      <t>キジュン</t>
    </rPh>
    <rPh sb="21" eb="22">
      <t>タイ</t>
    </rPh>
    <rPh sb="24" eb="26">
      <t>テキゴウ</t>
    </rPh>
    <rPh sb="26" eb="28">
      <t>ジョウキョウ</t>
    </rPh>
    <phoneticPr fontId="1"/>
  </si>
  <si>
    <t>10　中小規模特定建築物等に係る措置に関する説明の実施状況</t>
    <rPh sb="3" eb="5">
      <t>チュウショウ</t>
    </rPh>
    <rPh sb="5" eb="7">
      <t>キボ</t>
    </rPh>
    <rPh sb="7" eb="9">
      <t>トクテイ</t>
    </rPh>
    <rPh sb="9" eb="12">
      <t>ケンチクブツ</t>
    </rPh>
    <rPh sb="12" eb="13">
      <t>トウ</t>
    </rPh>
    <rPh sb="14" eb="15">
      <t>カカ</t>
    </rPh>
    <rPh sb="16" eb="18">
      <t>ソチ</t>
    </rPh>
    <rPh sb="19" eb="20">
      <t>カン</t>
    </rPh>
    <rPh sb="22" eb="24">
      <t>セツメイ</t>
    </rPh>
    <rPh sb="25" eb="27">
      <t>ジッシ</t>
    </rPh>
    <rPh sb="27" eb="29">
      <t>ジョウキョウ</t>
    </rPh>
    <phoneticPr fontId="1"/>
  </si>
  <si>
    <t>　　</t>
    <phoneticPr fontId="1"/>
  </si>
  <si>
    <t>別記第２号様式　その２</t>
    <rPh sb="0" eb="2">
      <t>ベッキ</t>
    </rPh>
    <rPh sb="2" eb="3">
      <t>ダイ</t>
    </rPh>
    <rPh sb="4" eb="5">
      <t>ゴウ</t>
    </rPh>
    <rPh sb="5" eb="7">
      <t>ヨウシキ</t>
    </rPh>
    <phoneticPr fontId="1"/>
  </si>
  <si>
    <t>11　中小規模特定建築物の区分別の各基準に対する適合状況</t>
    <rPh sb="3" eb="5">
      <t>チュウショウ</t>
    </rPh>
    <rPh sb="5" eb="7">
      <t>キボ</t>
    </rPh>
    <rPh sb="7" eb="9">
      <t>トクテイ</t>
    </rPh>
    <rPh sb="9" eb="12">
      <t>ケンチクブツ</t>
    </rPh>
    <rPh sb="13" eb="15">
      <t>クブン</t>
    </rPh>
    <rPh sb="15" eb="16">
      <t>ベツ</t>
    </rPh>
    <rPh sb="17" eb="18">
      <t>カク</t>
    </rPh>
    <rPh sb="18" eb="20">
      <t>キジュン</t>
    </rPh>
    <rPh sb="21" eb="22">
      <t>タイ</t>
    </rPh>
    <rPh sb="24" eb="26">
      <t>テキゴウ</t>
    </rPh>
    <rPh sb="26" eb="28">
      <t>ジョウキョウ</t>
    </rPh>
    <phoneticPr fontId="1"/>
  </si>
  <si>
    <t>（１）省エネルギー性能基準及び誘導すべき同基準に関する事項</t>
    <rPh sb="3" eb="4">
      <t>ショウ</t>
    </rPh>
    <rPh sb="9" eb="11">
      <t>セイノウ</t>
    </rPh>
    <rPh sb="11" eb="13">
      <t>キジュン</t>
    </rPh>
    <rPh sb="13" eb="14">
      <t>オヨ</t>
    </rPh>
    <rPh sb="15" eb="17">
      <t>ユウドウ</t>
    </rPh>
    <rPh sb="20" eb="21">
      <t>ドウ</t>
    </rPh>
    <rPh sb="21" eb="23">
      <t>キジュン</t>
    </rPh>
    <rPh sb="24" eb="25">
      <t>カン</t>
    </rPh>
    <rPh sb="27" eb="29">
      <t>ジコウ</t>
    </rPh>
    <phoneticPr fontId="1"/>
  </si>
  <si>
    <t>ア　住宅の用途</t>
    <rPh sb="2" eb="4">
      <t>ジュウタク</t>
    </rPh>
    <rPh sb="5" eb="7">
      <t>ヨウト</t>
    </rPh>
    <phoneticPr fontId="1"/>
  </si>
  <si>
    <t>中小規模特定建築物の区分</t>
    <rPh sb="0" eb="9">
      <t>チュウショウキボトクテイケンチクブツ</t>
    </rPh>
    <rPh sb="10" eb="12">
      <t>クブン</t>
    </rPh>
    <phoneticPr fontId="1"/>
  </si>
  <si>
    <t>（ア）建築物の熱負荷の低減に関する事項</t>
    <phoneticPr fontId="1"/>
  </si>
  <si>
    <t>（イ）設備システムのエネルギー利用の低減に関する事項</t>
    <phoneticPr fontId="1"/>
  </si>
  <si>
    <t>外皮平均熱貫流率（ＵＡ値）</t>
    <rPh sb="0" eb="2">
      <t>ガイヒ</t>
    </rPh>
    <rPh sb="2" eb="4">
      <t>ヘイキン</t>
    </rPh>
    <rPh sb="4" eb="5">
      <t>ネツ</t>
    </rPh>
    <rPh sb="5" eb="7">
      <t>カンリュウ</t>
    </rPh>
    <rPh sb="7" eb="8">
      <t>リツ</t>
    </rPh>
    <rPh sb="11" eb="12">
      <t>チ</t>
    </rPh>
    <phoneticPr fontId="1"/>
  </si>
  <si>
    <t>基準に対する
適合状況</t>
    <rPh sb="0" eb="2">
      <t>キジュン</t>
    </rPh>
    <rPh sb="3" eb="4">
      <t>タイ</t>
    </rPh>
    <rPh sb="7" eb="9">
      <t>テキゴウ</t>
    </rPh>
    <rPh sb="9" eb="11">
      <t>ジョウキョウ</t>
    </rPh>
    <phoneticPr fontId="1"/>
  </si>
  <si>
    <t>誘導すべき
基準
に対する
適合状況</t>
    <rPh sb="0" eb="2">
      <t>ユウドウ</t>
    </rPh>
    <rPh sb="6" eb="8">
      <t>キジュン</t>
    </rPh>
    <rPh sb="10" eb="11">
      <t>タイ</t>
    </rPh>
    <rPh sb="14" eb="16">
      <t>テキゴウ</t>
    </rPh>
    <rPh sb="16" eb="18">
      <t>ジョウキョウ</t>
    </rPh>
    <phoneticPr fontId="1"/>
  </si>
  <si>
    <t>住宅用途ＢＥＩ</t>
    <rPh sb="0" eb="2">
      <t>ジュウタク</t>
    </rPh>
    <rPh sb="2" eb="4">
      <t>ヨウト</t>
    </rPh>
    <phoneticPr fontId="1"/>
  </si>
  <si>
    <t>基準に対する
適合状況</t>
    <phoneticPr fontId="1"/>
  </si>
  <si>
    <t>住宅用途ＢＥＩ
（誘導基準）</t>
    <phoneticPr fontId="1"/>
  </si>
  <si>
    <t>分譲戸建住宅</t>
    <rPh sb="0" eb="2">
      <t>ブンジョウ</t>
    </rPh>
    <rPh sb="2" eb="4">
      <t>コダテ</t>
    </rPh>
    <rPh sb="4" eb="6">
      <t>ジュウタク</t>
    </rPh>
    <phoneticPr fontId="1"/>
  </si>
  <si>
    <t>注文戸建住宅</t>
    <rPh sb="0" eb="2">
      <t>チュウモン</t>
    </rPh>
    <rPh sb="2" eb="4">
      <t>コダ</t>
    </rPh>
    <rPh sb="4" eb="6">
      <t>ジュウタク</t>
    </rPh>
    <phoneticPr fontId="1"/>
  </si>
  <si>
    <t>共同住宅</t>
    <rPh sb="0" eb="2">
      <t>キョウドウ</t>
    </rPh>
    <rPh sb="2" eb="4">
      <t>ジュウタク</t>
    </rPh>
    <phoneticPr fontId="1"/>
  </si>
  <si>
    <t>その他の住宅</t>
    <rPh sb="2" eb="3">
      <t>タ</t>
    </rPh>
    <rPh sb="4" eb="6">
      <t>ジュウタク</t>
    </rPh>
    <phoneticPr fontId="1"/>
  </si>
  <si>
    <t>イ　住宅以外の用途</t>
    <rPh sb="2" eb="4">
      <t>ジュウタク</t>
    </rPh>
    <rPh sb="4" eb="6">
      <t>イガイ</t>
    </rPh>
    <rPh sb="7" eb="9">
      <t>ヨウト</t>
    </rPh>
    <phoneticPr fontId="1"/>
  </si>
  <si>
    <t>中小規模特定建築物の区分</t>
    <rPh sb="0" eb="2">
      <t>チュウショウ</t>
    </rPh>
    <rPh sb="2" eb="4">
      <t>キボ</t>
    </rPh>
    <rPh sb="4" eb="6">
      <t>トクテイ</t>
    </rPh>
    <rPh sb="6" eb="9">
      <t>ケンチクブツ</t>
    </rPh>
    <rPh sb="10" eb="12">
      <t>クブン</t>
    </rPh>
    <phoneticPr fontId="1"/>
  </si>
  <si>
    <t>ＢＰＩ</t>
    <phoneticPr fontId="1"/>
  </si>
  <si>
    <t>非住宅用途ＢＥＩ</t>
    <rPh sb="0" eb="1">
      <t>ヒ</t>
    </rPh>
    <rPh sb="1" eb="3">
      <t>ジュウタク</t>
    </rPh>
    <rPh sb="3" eb="5">
      <t>ヨウト</t>
    </rPh>
    <phoneticPr fontId="1"/>
  </si>
  <si>
    <t>非住宅用途ＢＥＩ
（誘導基準）</t>
    <phoneticPr fontId="1"/>
  </si>
  <si>
    <t>延べ面積300㎡以上の建築物</t>
    <rPh sb="0" eb="1">
      <t>ノ</t>
    </rPh>
    <rPh sb="2" eb="4">
      <t>メンセキ</t>
    </rPh>
    <rPh sb="8" eb="10">
      <t>イジョウ</t>
    </rPh>
    <rPh sb="11" eb="14">
      <t>ケンチクブツ</t>
    </rPh>
    <phoneticPr fontId="1"/>
  </si>
  <si>
    <t>延べ面積300㎡未満の建築物</t>
    <rPh sb="0" eb="1">
      <t>ノ</t>
    </rPh>
    <rPh sb="2" eb="4">
      <t>メンセキ</t>
    </rPh>
    <rPh sb="8" eb="10">
      <t>ミマン</t>
    </rPh>
    <phoneticPr fontId="1"/>
  </si>
  <si>
    <t>（２）再生可能エネルギー利用設備設置基準及び誘導すべき同基準に関する事項</t>
    <rPh sb="3" eb="7">
      <t>サイセイカノウ</t>
    </rPh>
    <rPh sb="12" eb="20">
      <t>リヨウセツビセッチキジュン</t>
    </rPh>
    <rPh sb="20" eb="21">
      <t>オヨ</t>
    </rPh>
    <rPh sb="22" eb="24">
      <t>ユウドウ</t>
    </rPh>
    <rPh sb="27" eb="28">
      <t>ドウ</t>
    </rPh>
    <rPh sb="28" eb="30">
      <t>キジュン</t>
    </rPh>
    <rPh sb="31" eb="32">
      <t>カン</t>
    </rPh>
    <rPh sb="34" eb="36">
      <t>ジコウ</t>
    </rPh>
    <phoneticPr fontId="1"/>
  </si>
  <si>
    <t>全ての建築物</t>
    <rPh sb="0" eb="1">
      <t>スベ</t>
    </rPh>
    <rPh sb="3" eb="6">
      <t>ケンチクブツ</t>
    </rPh>
    <phoneticPr fontId="1"/>
  </si>
  <si>
    <t>（３）電気自動車充電設備整備基準及び誘導すべき同基準に関する事項</t>
    <rPh sb="3" eb="12">
      <t>デンキジドウシャジュウデンセツビ</t>
    </rPh>
    <rPh sb="12" eb="14">
      <t>セイビ</t>
    </rPh>
    <rPh sb="14" eb="16">
      <t>キジュン</t>
    </rPh>
    <rPh sb="16" eb="17">
      <t>オヨ</t>
    </rPh>
    <rPh sb="18" eb="20">
      <t>ユウドウ</t>
    </rPh>
    <rPh sb="23" eb="24">
      <t>ドウ</t>
    </rPh>
    <rPh sb="24" eb="26">
      <t>キジュン</t>
    </rPh>
    <rPh sb="27" eb="28">
      <t>カン</t>
    </rPh>
    <rPh sb="30" eb="32">
      <t>ジコウ</t>
    </rPh>
    <phoneticPr fontId="1"/>
  </si>
  <si>
    <t>一戸建ての住宅</t>
    <phoneticPr fontId="1"/>
  </si>
  <si>
    <t>一戸建ての住宅以外</t>
    <rPh sb="7" eb="9">
      <t>イガイ</t>
    </rPh>
    <phoneticPr fontId="1"/>
  </si>
  <si>
    <t>住宅以外の用途</t>
    <rPh sb="0" eb="2">
      <t>ジュウタク</t>
    </rPh>
    <rPh sb="2" eb="4">
      <t>イガイ</t>
    </rPh>
    <rPh sb="5" eb="7">
      <t>ヨウト</t>
    </rPh>
    <phoneticPr fontId="1"/>
  </si>
  <si>
    <t>別記第２号様式　その３</t>
    <rPh sb="0" eb="2">
      <t>ベッキ</t>
    </rPh>
    <rPh sb="2" eb="3">
      <t>ダイ</t>
    </rPh>
    <rPh sb="4" eb="5">
      <t>ゴウ</t>
    </rPh>
    <rPh sb="5" eb="7">
      <t>ヨウシキ</t>
    </rPh>
    <phoneticPr fontId="1"/>
  </si>
  <si>
    <t>12　建築物等に起因する環境への配慮のための措置に関する事項</t>
    <rPh sb="3" eb="6">
      <t>ケンチクブツ</t>
    </rPh>
    <rPh sb="6" eb="7">
      <t>トウ</t>
    </rPh>
    <rPh sb="8" eb="10">
      <t>キイン</t>
    </rPh>
    <rPh sb="12" eb="14">
      <t>カンキョウ</t>
    </rPh>
    <rPh sb="16" eb="18">
      <t>ハイリョ</t>
    </rPh>
    <rPh sb="22" eb="24">
      <t>ソチ</t>
    </rPh>
    <rPh sb="25" eb="26">
      <t>カン</t>
    </rPh>
    <rPh sb="28" eb="30">
      <t>ジコウ</t>
    </rPh>
    <phoneticPr fontId="1"/>
  </si>
  <si>
    <t>分野</t>
  </si>
  <si>
    <t>区分</t>
  </si>
  <si>
    <t>細区分</t>
  </si>
  <si>
    <t>環境への配慮のための措置</t>
    <phoneticPr fontId="1"/>
  </si>
  <si>
    <t>エネルギーの使用の合理化及び再生可能エネルギーへの転換</t>
    <phoneticPr fontId="1"/>
  </si>
  <si>
    <t>建築物の熱負荷の低減</t>
    <phoneticPr fontId="1"/>
  </si>
  <si>
    <t>建築物外皮の熱負荷抑制</t>
    <phoneticPr fontId="1"/>
  </si>
  <si>
    <t>再生可能エネルギーの利用</t>
    <phoneticPr fontId="1"/>
  </si>
  <si>
    <t>再生可能エネルギーの直接利用</t>
    <phoneticPr fontId="1"/>
  </si>
  <si>
    <t>再生可能エネルギーの変換利用</t>
    <phoneticPr fontId="1"/>
  </si>
  <si>
    <t>再生可能エネルギー電気の受入れ</t>
    <phoneticPr fontId="1"/>
  </si>
  <si>
    <t>省エネルギーシステム</t>
    <phoneticPr fontId="1"/>
  </si>
  <si>
    <t>設備システムの高効率化</t>
    <phoneticPr fontId="1"/>
  </si>
  <si>
    <t>エネルギーマネジメント</t>
    <phoneticPr fontId="1"/>
  </si>
  <si>
    <t>最適運用のための予測、計測、表示等</t>
    <phoneticPr fontId="1"/>
  </si>
  <si>
    <t>資源の適正利用</t>
    <phoneticPr fontId="1"/>
  </si>
  <si>
    <t>持続可能な低炭素資材等の利用</t>
    <phoneticPr fontId="1"/>
  </si>
  <si>
    <t>躯体材料における低炭素資材等の利用</t>
    <phoneticPr fontId="1"/>
  </si>
  <si>
    <t>躯体材料以外における低炭素資材等の利用</t>
    <phoneticPr fontId="1"/>
  </si>
  <si>
    <t>オゾン層の保護及び地球温暖化の抑制</t>
    <phoneticPr fontId="1"/>
  </si>
  <si>
    <t>建設に係る環境負荷低減への配慮</t>
    <phoneticPr fontId="1"/>
  </si>
  <si>
    <r>
      <t>建設時ＣＯ</t>
    </r>
    <r>
      <rPr>
        <vertAlign val="subscript"/>
        <sz val="11"/>
        <color theme="1"/>
        <rFont val="ＭＳ 明朝"/>
        <family val="1"/>
        <charset val="128"/>
      </rPr>
      <t>２</t>
    </r>
    <r>
      <rPr>
        <sz val="11"/>
        <color theme="1"/>
        <rFont val="ＭＳ 明朝"/>
        <family val="1"/>
        <charset val="128"/>
      </rPr>
      <t>排出量の把握・削減</t>
    </r>
    <phoneticPr fontId="1"/>
  </si>
  <si>
    <t>建設副産物の有効利用及び適正処理</t>
    <phoneticPr fontId="1"/>
  </si>
  <si>
    <t>長寿命化等</t>
    <phoneticPr fontId="1"/>
  </si>
  <si>
    <t>維持管理、更新、改修、用途の変更等の自由度の確保及び建設資材の再使用対策</t>
    <phoneticPr fontId="1"/>
  </si>
  <si>
    <t>躯（く）体の劣化対策</t>
    <rPh sb="0" eb="1">
      <t>ムクロ</t>
    </rPh>
    <rPh sb="4" eb="5">
      <t>カラダ</t>
    </rPh>
    <phoneticPr fontId="1"/>
  </si>
  <si>
    <t>持続可能な水の利用</t>
    <phoneticPr fontId="1"/>
  </si>
  <si>
    <t>水使用の合理化</t>
    <phoneticPr fontId="1"/>
  </si>
  <si>
    <t>生物多様性の保全</t>
  </si>
  <si>
    <t>水循環</t>
    <phoneticPr fontId="1"/>
  </si>
  <si>
    <t>雨水浸透</t>
    <phoneticPr fontId="1"/>
  </si>
  <si>
    <t>緑化</t>
    <phoneticPr fontId="1"/>
  </si>
  <si>
    <t>緑の確保、維持管理等</t>
    <phoneticPr fontId="1"/>
  </si>
  <si>
    <t>気候変動への適応</t>
  </si>
  <si>
    <t>ヒートアイランド対策</t>
    <phoneticPr fontId="1"/>
  </si>
  <si>
    <t>自然災害への適応</t>
    <phoneticPr fontId="1"/>
  </si>
  <si>
    <t>自然災害リスクの軽減及び回避</t>
    <phoneticPr fontId="1"/>
  </si>
  <si>
    <t>自然災害発生時の対応力向上</t>
    <phoneticPr fontId="1"/>
  </si>
  <si>
    <t>別記第２号様式　その４―１</t>
    <rPh sb="0" eb="2">
      <t>ベッキ</t>
    </rPh>
    <rPh sb="2" eb="3">
      <t>ダイ</t>
    </rPh>
    <rPh sb="4" eb="5">
      <t>ゴウ</t>
    </rPh>
    <rPh sb="5" eb="7">
      <t>ヨウシキ</t>
    </rPh>
    <phoneticPr fontId="1"/>
  </si>
  <si>
    <t>13　中小規模特定建築物における取組状況</t>
    <rPh sb="3" eb="12">
      <t>チュウショウキボトクテイケンチクブツ</t>
    </rPh>
    <rPh sb="16" eb="18">
      <t>トリクミ</t>
    </rPh>
    <rPh sb="18" eb="20">
      <t>ジョウキョウ</t>
    </rPh>
    <phoneticPr fontId="1"/>
  </si>
  <si>
    <t>（１）住宅の用途</t>
    <rPh sb="3" eb="5">
      <t>ジュウタク</t>
    </rPh>
    <rPh sb="6" eb="8">
      <t>ヨウト</t>
    </rPh>
    <phoneticPr fontId="1"/>
  </si>
  <si>
    <t>建物番号</t>
    <rPh sb="0" eb="2">
      <t>タテモノ</t>
    </rPh>
    <rPh sb="2" eb="4">
      <t>バンゴウ</t>
    </rPh>
    <phoneticPr fontId="1"/>
  </si>
  <si>
    <t>ア　建築物の概要</t>
    <rPh sb="2" eb="5">
      <t>ケンチクブツ</t>
    </rPh>
    <rPh sb="6" eb="8">
      <t>ガイヨウ</t>
    </rPh>
    <phoneticPr fontId="1"/>
  </si>
  <si>
    <t>イ　省エネルギー性能基準及び誘導すべき同基準に関する事項</t>
    <rPh sb="2" eb="3">
      <t>ショウ</t>
    </rPh>
    <rPh sb="8" eb="10">
      <t>セイノウ</t>
    </rPh>
    <rPh sb="10" eb="12">
      <t>キジュン</t>
    </rPh>
    <rPh sb="12" eb="13">
      <t>オヨ</t>
    </rPh>
    <rPh sb="14" eb="16">
      <t>ユウドウ</t>
    </rPh>
    <rPh sb="19" eb="20">
      <t>ドウ</t>
    </rPh>
    <rPh sb="20" eb="22">
      <t>キジュン</t>
    </rPh>
    <rPh sb="23" eb="24">
      <t>カン</t>
    </rPh>
    <rPh sb="26" eb="28">
      <t>ジコウ</t>
    </rPh>
    <phoneticPr fontId="1"/>
  </si>
  <si>
    <t>ウ　再生可能エネルギー利用設備設置基準及び誘導すべ
　き同基準に関する事項</t>
    <rPh sb="2" eb="4">
      <t>サイセイ</t>
    </rPh>
    <rPh sb="4" eb="6">
      <t>カノウ</t>
    </rPh>
    <rPh sb="11" eb="13">
      <t>リヨウ</t>
    </rPh>
    <rPh sb="13" eb="15">
      <t>セツビ</t>
    </rPh>
    <rPh sb="15" eb="17">
      <t>セッチ</t>
    </rPh>
    <rPh sb="17" eb="19">
      <t>キジュン</t>
    </rPh>
    <rPh sb="19" eb="20">
      <t>オヨ</t>
    </rPh>
    <rPh sb="21" eb="23">
      <t>ユウドウ</t>
    </rPh>
    <rPh sb="28" eb="29">
      <t>ドウ</t>
    </rPh>
    <rPh sb="29" eb="31">
      <t>キジュン</t>
    </rPh>
    <rPh sb="32" eb="33">
      <t>カン</t>
    </rPh>
    <rPh sb="35" eb="37">
      <t>ジコウ</t>
    </rPh>
    <phoneticPr fontId="1"/>
  </si>
  <si>
    <t>エ　電気自動車充電設備整備基準及び誘導すべき同基準に関する事項</t>
    <rPh sb="2" eb="9">
      <t>デンキジドウシャジュウデン</t>
    </rPh>
    <rPh sb="9" eb="11">
      <t>セツビ</t>
    </rPh>
    <rPh sb="11" eb="13">
      <t>セイビ</t>
    </rPh>
    <rPh sb="13" eb="15">
      <t>キジュン</t>
    </rPh>
    <rPh sb="15" eb="16">
      <t>オヨ</t>
    </rPh>
    <rPh sb="17" eb="19">
      <t>ユウドウ</t>
    </rPh>
    <rPh sb="22" eb="23">
      <t>ドウ</t>
    </rPh>
    <rPh sb="23" eb="25">
      <t>キジュン</t>
    </rPh>
    <rPh sb="26" eb="27">
      <t>カン</t>
    </rPh>
    <rPh sb="29" eb="31">
      <t>ジコウ</t>
    </rPh>
    <phoneticPr fontId="1"/>
  </si>
  <si>
    <t>（ア）　建築物の熱負荷の低減に関する事項</t>
    <phoneticPr fontId="1"/>
  </si>
  <si>
    <t>（イ）　設備システムのエネルギー利用の低減に関する事項</t>
    <phoneticPr fontId="1"/>
  </si>
  <si>
    <t>住宅の区分</t>
    <rPh sb="0" eb="2">
      <t>ジュウタク</t>
    </rPh>
    <rPh sb="3" eb="5">
      <t>クブン</t>
    </rPh>
    <phoneticPr fontId="1"/>
  </si>
  <si>
    <t>所在地</t>
    <rPh sb="0" eb="3">
      <t>ショザイチ</t>
    </rPh>
    <phoneticPr fontId="1"/>
  </si>
  <si>
    <t>区域の区分</t>
    <rPh sb="0" eb="2">
      <t>クイキ</t>
    </rPh>
    <rPh sb="3" eb="5">
      <t>クブン</t>
    </rPh>
    <phoneticPr fontId="1"/>
  </si>
  <si>
    <t>住宅仕様基準への適合</t>
    <rPh sb="0" eb="2">
      <t>ジュウタク</t>
    </rPh>
    <rPh sb="2" eb="4">
      <t>シヨウ</t>
    </rPh>
    <rPh sb="4" eb="6">
      <t>キジュン</t>
    </rPh>
    <rPh sb="8" eb="10">
      <t>テキゴウ</t>
    </rPh>
    <phoneticPr fontId="1"/>
  </si>
  <si>
    <t>住宅誘導仕様基準への適合</t>
    <rPh sb="0" eb="2">
      <t>ジュウタク</t>
    </rPh>
    <rPh sb="2" eb="4">
      <t>ユウドウ</t>
    </rPh>
    <rPh sb="4" eb="6">
      <t>シヨウ</t>
    </rPh>
    <rPh sb="6" eb="8">
      <t>キジュン</t>
    </rPh>
    <rPh sb="10" eb="12">
      <t>テキゴウ</t>
    </rPh>
    <phoneticPr fontId="1"/>
  </si>
  <si>
    <t>基準算定から除く建築物</t>
    <rPh sb="0" eb="2">
      <t>キジュン</t>
    </rPh>
    <rPh sb="2" eb="4">
      <t>サンテイ</t>
    </rPh>
    <rPh sb="6" eb="7">
      <t>ノゾ</t>
    </rPh>
    <rPh sb="8" eb="11">
      <t>ケンチクブツ</t>
    </rPh>
    <phoneticPr fontId="1"/>
  </si>
  <si>
    <t>再エネ利用設備の設置容量</t>
    <rPh sb="0" eb="1">
      <t>サイ</t>
    </rPh>
    <rPh sb="3" eb="5">
      <t>リヨウ</t>
    </rPh>
    <rPh sb="5" eb="7">
      <t>セツビ</t>
    </rPh>
    <rPh sb="8" eb="10">
      <t>セッチ</t>
    </rPh>
    <rPh sb="10" eb="12">
      <t>ヨウリョウ</t>
    </rPh>
    <phoneticPr fontId="1"/>
  </si>
  <si>
    <t>電気自動車充電設備の整備数</t>
    <rPh sb="0" eb="7">
      <t>デンキジドウシャジュウデン</t>
    </rPh>
    <rPh sb="7" eb="9">
      <t>セツビ</t>
    </rPh>
    <rPh sb="10" eb="12">
      <t>セイビ</t>
    </rPh>
    <rPh sb="12" eb="13">
      <t>スウ</t>
    </rPh>
    <phoneticPr fontId="1"/>
  </si>
  <si>
    <t>該当有無</t>
    <rPh sb="0" eb="2">
      <t>ガイトウ</t>
    </rPh>
    <rPh sb="2" eb="4">
      <t>ウム</t>
    </rPh>
    <phoneticPr fontId="1"/>
  </si>
  <si>
    <t>備考　報告対象年度に都内において新たに建設し、又は新築しようとした中小規模特定建築物（住宅の用途）を全て記載すること。</t>
    <rPh sb="0" eb="2">
      <t>ビコウ</t>
    </rPh>
    <rPh sb="3" eb="5">
      <t>ホウコク</t>
    </rPh>
    <rPh sb="5" eb="7">
      <t>タイショウ</t>
    </rPh>
    <rPh sb="7" eb="9">
      <t>ネンド</t>
    </rPh>
    <rPh sb="43" eb="45">
      <t>ジュウタク</t>
    </rPh>
    <rPh sb="46" eb="48">
      <t>ヨウト</t>
    </rPh>
    <rPh sb="50" eb="51">
      <t>スベ</t>
    </rPh>
    <rPh sb="52" eb="54">
      <t>キサイ</t>
    </rPh>
    <phoneticPr fontId="1"/>
  </si>
  <si>
    <t>　</t>
    <phoneticPr fontId="1"/>
  </si>
  <si>
    <t>別記第２号様式　その４―２</t>
    <rPh sb="0" eb="2">
      <t>ベッキ</t>
    </rPh>
    <rPh sb="2" eb="3">
      <t>ダイ</t>
    </rPh>
    <rPh sb="4" eb="5">
      <t>ゴウ</t>
    </rPh>
    <rPh sb="5" eb="7">
      <t>ヨウシキ</t>
    </rPh>
    <phoneticPr fontId="1"/>
  </si>
  <si>
    <t>（２）　住宅以外の用途</t>
    <rPh sb="4" eb="6">
      <t>ジュウタク</t>
    </rPh>
    <rPh sb="6" eb="8">
      <t>イガイ</t>
    </rPh>
    <rPh sb="9" eb="11">
      <t>ヨウト</t>
    </rPh>
    <phoneticPr fontId="1"/>
  </si>
  <si>
    <t>ウ　再生可能エネルギー利用設備設置基準及び誘導すべき同
　基準に関する事項</t>
    <rPh sb="2" eb="4">
      <t>サイセイ</t>
    </rPh>
    <rPh sb="4" eb="6">
      <t>カノウ</t>
    </rPh>
    <rPh sb="11" eb="13">
      <t>リヨウ</t>
    </rPh>
    <rPh sb="13" eb="15">
      <t>セツビ</t>
    </rPh>
    <rPh sb="15" eb="17">
      <t>セッチ</t>
    </rPh>
    <rPh sb="17" eb="19">
      <t>キジュン</t>
    </rPh>
    <rPh sb="19" eb="20">
      <t>オヨ</t>
    </rPh>
    <rPh sb="21" eb="23">
      <t>ユウドウ</t>
    </rPh>
    <rPh sb="26" eb="27">
      <t>ドウ</t>
    </rPh>
    <rPh sb="29" eb="31">
      <t>キジュン</t>
    </rPh>
    <rPh sb="32" eb="33">
      <t>カン</t>
    </rPh>
    <rPh sb="35" eb="37">
      <t>ジコウ</t>
    </rPh>
    <phoneticPr fontId="1"/>
  </si>
  <si>
    <t>主たる用途</t>
    <rPh sb="0" eb="1">
      <t>シュ</t>
    </rPh>
    <rPh sb="3" eb="5">
      <t>ヨウト</t>
    </rPh>
    <phoneticPr fontId="1"/>
  </si>
  <si>
    <t>別記第２号様式　その５</t>
    <rPh sb="0" eb="2">
      <t>ベッキ</t>
    </rPh>
    <rPh sb="2" eb="3">
      <t>ダイ</t>
    </rPh>
    <rPh sb="4" eb="5">
      <t>ゴウ</t>
    </rPh>
    <rPh sb="5" eb="7">
      <t>ヨウシキ</t>
    </rPh>
    <phoneticPr fontId="1"/>
  </si>
  <si>
    <t>14　既存建築物等における再生可能エネルギー利用設備の新設状況</t>
    <rPh sb="3" eb="5">
      <t>キゾン</t>
    </rPh>
    <rPh sb="5" eb="8">
      <t>ケンチクブツ</t>
    </rPh>
    <rPh sb="8" eb="9">
      <t>トウ</t>
    </rPh>
    <rPh sb="13" eb="15">
      <t>サイセイ</t>
    </rPh>
    <rPh sb="15" eb="17">
      <t>カノウ</t>
    </rPh>
    <rPh sb="22" eb="24">
      <t>リヨウ</t>
    </rPh>
    <rPh sb="24" eb="26">
      <t>セツビ</t>
    </rPh>
    <rPh sb="27" eb="29">
      <t>シンセツ</t>
    </rPh>
    <rPh sb="29" eb="31">
      <t>ジョウキョウ</t>
    </rPh>
    <phoneticPr fontId="1"/>
  </si>
  <si>
    <t>建物の区分</t>
    <rPh sb="0" eb="2">
      <t>タテモノ</t>
    </rPh>
    <rPh sb="3" eb="5">
      <t>クブン</t>
    </rPh>
    <phoneticPr fontId="1"/>
  </si>
  <si>
    <t>再生可能エネルギー利用設備の新設容量</t>
    <rPh sb="0" eb="2">
      <t>サイセイ</t>
    </rPh>
    <rPh sb="2" eb="4">
      <t>カノウ</t>
    </rPh>
    <rPh sb="9" eb="11">
      <t>リヨウ</t>
    </rPh>
    <rPh sb="11" eb="13">
      <t>セツビ</t>
    </rPh>
    <rPh sb="14" eb="16">
      <t>シンセツ</t>
    </rPh>
    <rPh sb="16" eb="18">
      <t>ヨウリョウ</t>
    </rPh>
    <phoneticPr fontId="1"/>
  </si>
  <si>
    <t>別記第２号様式　その６</t>
    <rPh sb="0" eb="2">
      <t>ベッキ</t>
    </rPh>
    <rPh sb="2" eb="3">
      <t>ダイ</t>
    </rPh>
    <rPh sb="4" eb="5">
      <t>ゴウ</t>
    </rPh>
    <rPh sb="5" eb="7">
      <t>ヨウシキ</t>
    </rPh>
    <phoneticPr fontId="1"/>
  </si>
  <si>
    <t>15　再生可能エネルギー利用設備設置基準及び誘導すべき同基準の算定及び適合状況等</t>
    <rPh sb="3" eb="5">
      <t>サイセイ</t>
    </rPh>
    <rPh sb="5" eb="7">
      <t>カノウ</t>
    </rPh>
    <rPh sb="12" eb="14">
      <t>リヨウ</t>
    </rPh>
    <rPh sb="14" eb="16">
      <t>セツビ</t>
    </rPh>
    <rPh sb="16" eb="18">
      <t>セッチ</t>
    </rPh>
    <rPh sb="18" eb="20">
      <t>キジュン</t>
    </rPh>
    <rPh sb="20" eb="21">
      <t>オヨ</t>
    </rPh>
    <rPh sb="22" eb="24">
      <t>ユウドウ</t>
    </rPh>
    <rPh sb="27" eb="28">
      <t>ドウ</t>
    </rPh>
    <rPh sb="28" eb="30">
      <t>キジュン</t>
    </rPh>
    <rPh sb="31" eb="33">
      <t>サンテイ</t>
    </rPh>
    <rPh sb="33" eb="34">
      <t>オヨ</t>
    </rPh>
    <rPh sb="35" eb="37">
      <t>テキゴウ</t>
    </rPh>
    <rPh sb="37" eb="39">
      <t>ジョウキョウ</t>
    </rPh>
    <rPh sb="39" eb="40">
      <t>トウ</t>
    </rPh>
    <phoneticPr fontId="1"/>
  </si>
  <si>
    <t>（１）区域の区分ごとの算定基準率を用いる場合の基準</t>
    <rPh sb="3" eb="5">
      <t>クイキ</t>
    </rPh>
    <rPh sb="6" eb="8">
      <t>クブン</t>
    </rPh>
    <rPh sb="11" eb="13">
      <t>サンテイ</t>
    </rPh>
    <rPh sb="13" eb="15">
      <t>キジュン</t>
    </rPh>
    <rPh sb="15" eb="16">
      <t>リツ</t>
    </rPh>
    <rPh sb="17" eb="18">
      <t>モチ</t>
    </rPh>
    <rPh sb="20" eb="22">
      <t>バアイ</t>
    </rPh>
    <rPh sb="23" eb="25">
      <t>キジュン</t>
    </rPh>
    <phoneticPr fontId="1"/>
  </si>
  <si>
    <t>算定基準率</t>
    <rPh sb="0" eb="2">
      <t>サンテイ</t>
    </rPh>
    <rPh sb="2" eb="4">
      <t>キジュン</t>
    </rPh>
    <rPh sb="4" eb="5">
      <t>リツ</t>
    </rPh>
    <phoneticPr fontId="1"/>
  </si>
  <si>
    <t>分譲戸建住宅</t>
    <rPh sb="0" eb="2">
      <t>ブンジョウ</t>
    </rPh>
    <rPh sb="2" eb="4">
      <t>コダ</t>
    </rPh>
    <rPh sb="3" eb="4">
      <t>ダ</t>
    </rPh>
    <rPh sb="4" eb="6">
      <t>ジュウタク</t>
    </rPh>
    <phoneticPr fontId="1"/>
  </si>
  <si>
    <t>分譲戸建住宅以外の建築物</t>
    <rPh sb="0" eb="2">
      <t>ブンジョウ</t>
    </rPh>
    <rPh sb="2" eb="4">
      <t>コダ</t>
    </rPh>
    <rPh sb="3" eb="4">
      <t>ダ</t>
    </rPh>
    <rPh sb="4" eb="6">
      <t>ジュウタク</t>
    </rPh>
    <rPh sb="6" eb="8">
      <t>イガイ</t>
    </rPh>
    <rPh sb="9" eb="12">
      <t>ケンチクブツ</t>
    </rPh>
    <phoneticPr fontId="1"/>
  </si>
  <si>
    <t>再生可能エネルギー利用設備
設置基準</t>
    <rPh sb="0" eb="4">
      <t>サイセイカノウ</t>
    </rPh>
    <rPh sb="9" eb="11">
      <t>リヨウ</t>
    </rPh>
    <rPh sb="11" eb="13">
      <t>セツビ</t>
    </rPh>
    <rPh sb="14" eb="16">
      <t>セッチ</t>
    </rPh>
    <rPh sb="16" eb="18">
      <t>キジュン</t>
    </rPh>
    <phoneticPr fontId="1"/>
  </si>
  <si>
    <t>誘導すべき
再生可能エネルギー利用設備
設置基準</t>
    <rPh sb="0" eb="2">
      <t>ユウドウ</t>
    </rPh>
    <rPh sb="6" eb="10">
      <t>サイセイカノウ</t>
    </rPh>
    <rPh sb="15" eb="17">
      <t>リヨウ</t>
    </rPh>
    <rPh sb="17" eb="19">
      <t>セツビ</t>
    </rPh>
    <rPh sb="20" eb="22">
      <t>セッチ</t>
    </rPh>
    <rPh sb="22" eb="24">
      <t>キジュン</t>
    </rPh>
    <phoneticPr fontId="1"/>
  </si>
  <si>
    <t>既存建築物等への新設における上限量</t>
    <rPh sb="0" eb="2">
      <t>キゾン</t>
    </rPh>
    <rPh sb="2" eb="5">
      <t>ケンチクブツ</t>
    </rPh>
    <rPh sb="5" eb="6">
      <t>トウ</t>
    </rPh>
    <rPh sb="8" eb="10">
      <t>シンセツ</t>
    </rPh>
    <rPh sb="14" eb="16">
      <t>ジョウゲン</t>
    </rPh>
    <rPh sb="16" eb="17">
      <t>リョウ</t>
    </rPh>
    <phoneticPr fontId="1"/>
  </si>
  <si>
    <t>新たに建設し、又は新築しようとした棟数</t>
    <rPh sb="0" eb="1">
      <t>アラ</t>
    </rPh>
    <rPh sb="3" eb="5">
      <t>ケンセツ</t>
    </rPh>
    <rPh sb="7" eb="8">
      <t>マタ</t>
    </rPh>
    <rPh sb="9" eb="11">
      <t>シンチク</t>
    </rPh>
    <rPh sb="17" eb="19">
      <t>トウスウ</t>
    </rPh>
    <phoneticPr fontId="1"/>
  </si>
  <si>
    <t>基準の算定から除く建築物の棟数</t>
    <rPh sb="13" eb="15">
      <t>トウスウ</t>
    </rPh>
    <phoneticPr fontId="1"/>
  </si>
  <si>
    <t>設置可能
棟数</t>
    <rPh sb="0" eb="2">
      <t>セッチ</t>
    </rPh>
    <rPh sb="2" eb="4">
      <t>カノウ</t>
    </rPh>
    <rPh sb="5" eb="7">
      <t>トウスウ</t>
    </rPh>
    <phoneticPr fontId="1"/>
  </si>
  <si>
    <t>―</t>
    <phoneticPr fontId="1"/>
  </si>
  <si>
    <t>合計</t>
    <rPh sb="0" eb="2">
      <t>ゴウケイ</t>
    </rPh>
    <phoneticPr fontId="1"/>
  </si>
  <si>
    <t>（２）一律の算定基準率を用いる場合の基準</t>
    <rPh sb="3" eb="5">
      <t>イチリツ</t>
    </rPh>
    <rPh sb="6" eb="8">
      <t>サンテイ</t>
    </rPh>
    <rPh sb="8" eb="10">
      <t>キジュン</t>
    </rPh>
    <rPh sb="10" eb="11">
      <t>リツ</t>
    </rPh>
    <rPh sb="12" eb="13">
      <t>モチ</t>
    </rPh>
    <rPh sb="15" eb="17">
      <t>バアイ</t>
    </rPh>
    <rPh sb="18" eb="20">
      <t>キジュン</t>
    </rPh>
    <phoneticPr fontId="1"/>
  </si>
  <si>
    <t>全区域</t>
    <rPh sb="0" eb="3">
      <t>ゼンクイキ</t>
    </rPh>
    <phoneticPr fontId="1"/>
  </si>
  <si>
    <t>（３）基準に対する適合状況等</t>
    <rPh sb="6" eb="7">
      <t>タイ</t>
    </rPh>
    <rPh sb="9" eb="11">
      <t>テキゴウ</t>
    </rPh>
    <rPh sb="11" eb="13">
      <t>ジョウキョウ</t>
    </rPh>
    <rPh sb="13" eb="14">
      <t>トウ</t>
    </rPh>
    <phoneticPr fontId="1"/>
  </si>
  <si>
    <t>再生可能エネルギー利用設備設置基準</t>
    <rPh sb="0" eb="2">
      <t>サイセイ</t>
    </rPh>
    <rPh sb="2" eb="4">
      <t>カノウ</t>
    </rPh>
    <rPh sb="9" eb="11">
      <t>リヨウ</t>
    </rPh>
    <rPh sb="11" eb="13">
      <t>セツビ</t>
    </rPh>
    <rPh sb="13" eb="15">
      <t>セッチ</t>
    </rPh>
    <rPh sb="15" eb="17">
      <t>キジュン</t>
    </rPh>
    <phoneticPr fontId="1"/>
  </si>
  <si>
    <t>誘導すべき再生可能エネルギー利用設備設置基準</t>
    <phoneticPr fontId="1"/>
  </si>
  <si>
    <t>中小規模特定建築物等における設置容量</t>
    <rPh sb="0" eb="2">
      <t>チュウショウ</t>
    </rPh>
    <rPh sb="2" eb="4">
      <t>キボ</t>
    </rPh>
    <rPh sb="4" eb="6">
      <t>トクテイ</t>
    </rPh>
    <rPh sb="6" eb="9">
      <t>ケンチクブツ</t>
    </rPh>
    <rPh sb="9" eb="10">
      <t>トウ</t>
    </rPh>
    <rPh sb="14" eb="16">
      <t>セッチ</t>
    </rPh>
    <rPh sb="16" eb="18">
      <t>ヨウリョウ</t>
    </rPh>
    <phoneticPr fontId="1"/>
  </si>
  <si>
    <t>中小規模特定建築物等における設置容量が基準に対して不足する量</t>
    <rPh sb="0" eb="2">
      <t>チュウショウ</t>
    </rPh>
    <rPh sb="2" eb="4">
      <t>キボ</t>
    </rPh>
    <rPh sb="4" eb="6">
      <t>トクテイ</t>
    </rPh>
    <rPh sb="6" eb="9">
      <t>ケンチクブツ</t>
    </rPh>
    <rPh sb="9" eb="10">
      <t>トウ</t>
    </rPh>
    <rPh sb="14" eb="16">
      <t>セッチ</t>
    </rPh>
    <rPh sb="16" eb="18">
      <t>ヨウリョウ</t>
    </rPh>
    <rPh sb="22" eb="23">
      <t>タイ</t>
    </rPh>
    <rPh sb="25" eb="27">
      <t>フソク</t>
    </rPh>
    <rPh sb="29" eb="30">
      <t>リョウ</t>
    </rPh>
    <phoneticPr fontId="1"/>
  </si>
  <si>
    <t>中小規模特定建築物等における設置容量が誘導すべき基準に対して不足する量</t>
    <rPh sb="0" eb="2">
      <t>チュウショウ</t>
    </rPh>
    <rPh sb="2" eb="4">
      <t>キボ</t>
    </rPh>
    <rPh sb="4" eb="6">
      <t>トクテイ</t>
    </rPh>
    <rPh sb="6" eb="9">
      <t>ケンチクブツ</t>
    </rPh>
    <rPh sb="9" eb="10">
      <t>トウ</t>
    </rPh>
    <rPh sb="14" eb="16">
      <t>セッチ</t>
    </rPh>
    <rPh sb="16" eb="18">
      <t>ヨウリョウ</t>
    </rPh>
    <rPh sb="19" eb="21">
      <t>ユウドウ</t>
    </rPh>
    <rPh sb="27" eb="28">
      <t>タイ</t>
    </rPh>
    <rPh sb="30" eb="32">
      <t>フソク</t>
    </rPh>
    <rPh sb="34" eb="35">
      <t>リョウ</t>
    </rPh>
    <phoneticPr fontId="1"/>
  </si>
  <si>
    <t>既存建築物等における新設容量（上限量まで）</t>
    <rPh sb="0" eb="2">
      <t>キゾン</t>
    </rPh>
    <rPh sb="2" eb="5">
      <t>ケンチクブツ</t>
    </rPh>
    <rPh sb="5" eb="6">
      <t>トウ</t>
    </rPh>
    <rPh sb="10" eb="12">
      <t>シンセツ</t>
    </rPh>
    <rPh sb="12" eb="14">
      <t>ヨウリョウ</t>
    </rPh>
    <rPh sb="15" eb="17">
      <t>ジョウゲン</t>
    </rPh>
    <rPh sb="17" eb="18">
      <t>リョウ</t>
    </rPh>
    <phoneticPr fontId="1"/>
  </si>
  <si>
    <t>既存建築物等における新設容量（新設した全量）</t>
    <rPh sb="0" eb="2">
      <t>キゾン</t>
    </rPh>
    <rPh sb="2" eb="5">
      <t>ケンチクブツ</t>
    </rPh>
    <rPh sb="5" eb="6">
      <t>トウ</t>
    </rPh>
    <rPh sb="10" eb="12">
      <t>シンセツ</t>
    </rPh>
    <rPh sb="12" eb="14">
      <t>ヨウリョウ</t>
    </rPh>
    <rPh sb="15" eb="17">
      <t>シンセツ</t>
    </rPh>
    <rPh sb="19" eb="21">
      <t>ゼンリョウ</t>
    </rPh>
    <phoneticPr fontId="1"/>
  </si>
  <si>
    <t>再生可能エネルギー利用設備設置基準に対する適合状況（※）</t>
    <rPh sb="0" eb="2">
      <t>サイセイ</t>
    </rPh>
    <rPh sb="2" eb="4">
      <t>カノウ</t>
    </rPh>
    <rPh sb="9" eb="11">
      <t>リヨウ</t>
    </rPh>
    <rPh sb="11" eb="13">
      <t>セツビ</t>
    </rPh>
    <rPh sb="13" eb="15">
      <t>セッチ</t>
    </rPh>
    <rPh sb="15" eb="17">
      <t>キジュン</t>
    </rPh>
    <rPh sb="18" eb="19">
      <t>タイ</t>
    </rPh>
    <rPh sb="21" eb="23">
      <t>テキゴウ</t>
    </rPh>
    <rPh sb="23" eb="25">
      <t>ジョウキョウ</t>
    </rPh>
    <phoneticPr fontId="1"/>
  </si>
  <si>
    <t>誘導すべき再生可能エネルギー利用設備設置基準に対する適合状況（※）</t>
    <rPh sb="0" eb="2">
      <t>ユウドウ</t>
    </rPh>
    <rPh sb="5" eb="7">
      <t>サイセイ</t>
    </rPh>
    <rPh sb="7" eb="9">
      <t>カノウ</t>
    </rPh>
    <rPh sb="14" eb="16">
      <t>リヨウ</t>
    </rPh>
    <rPh sb="16" eb="18">
      <t>セツビ</t>
    </rPh>
    <rPh sb="18" eb="20">
      <t>セッチ</t>
    </rPh>
    <rPh sb="20" eb="22">
      <t>キジュン</t>
    </rPh>
    <rPh sb="23" eb="24">
      <t>タイ</t>
    </rPh>
    <rPh sb="26" eb="28">
      <t>テキゴウ</t>
    </rPh>
    <rPh sb="28" eb="30">
      <t>ジョウキョウ</t>
    </rPh>
    <phoneticPr fontId="1"/>
  </si>
  <si>
    <t>自由入力欄（特定供給事業者用）</t>
    <phoneticPr fontId="1"/>
  </si>
  <si>
    <t>変更履歴</t>
    <rPh sb="0" eb="2">
      <t>ヘンコウ</t>
    </rPh>
    <rPh sb="2" eb="4">
      <t>リレキ</t>
    </rPh>
    <phoneticPr fontId="1"/>
  </si>
  <si>
    <t>No.</t>
    <phoneticPr fontId="1"/>
  </si>
  <si>
    <t>更新日付</t>
    <rPh sb="0" eb="2">
      <t>コウシン</t>
    </rPh>
    <rPh sb="2" eb="4">
      <t>ヒヅケ</t>
    </rPh>
    <phoneticPr fontId="1"/>
  </si>
  <si>
    <t>備考</t>
    <rPh sb="0" eb="2">
      <t>ビコウ</t>
    </rPh>
    <phoneticPr fontId="1"/>
  </si>
  <si>
    <t>更新内容</t>
    <rPh sb="0" eb="2">
      <t>コウシン</t>
    </rPh>
    <rPh sb="2" eb="4">
      <t>ナイヨウ</t>
    </rPh>
    <phoneticPr fontId="1"/>
  </si>
  <si>
    <t>管理番号</t>
    <rPh sb="0" eb="2">
      <t>カンリ</t>
    </rPh>
    <rPh sb="2" eb="4">
      <t>バンゴウ</t>
    </rPh>
    <phoneticPr fontId="1"/>
  </si>
  <si>
    <t>住宅名称</t>
    <rPh sb="0" eb="2">
      <t>ジュウタク</t>
    </rPh>
    <rPh sb="2" eb="4">
      <t>メイショウ</t>
    </rPh>
    <phoneticPr fontId="1"/>
  </si>
  <si>
    <t>ID</t>
    <phoneticPr fontId="1"/>
  </si>
  <si>
    <t>001</t>
    <phoneticPr fontId="1"/>
  </si>
  <si>
    <t>002</t>
    <phoneticPr fontId="1"/>
  </si>
  <si>
    <t>003</t>
    <phoneticPr fontId="1"/>
  </si>
  <si>
    <t>004</t>
    <phoneticPr fontId="1"/>
  </si>
  <si>
    <t>005</t>
    <phoneticPr fontId="1"/>
  </si>
  <si>
    <t>007</t>
    <phoneticPr fontId="1"/>
  </si>
  <si>
    <t>008</t>
    <phoneticPr fontId="1"/>
  </si>
  <si>
    <t>009</t>
    <phoneticPr fontId="1"/>
  </si>
  <si>
    <t>010</t>
    <phoneticPr fontId="1"/>
  </si>
  <si>
    <t>マスタ名称</t>
    <rPh sb="3" eb="5">
      <t>メイショウ</t>
    </rPh>
    <phoneticPr fontId="1"/>
  </si>
  <si>
    <t>住宅区分</t>
    <rPh sb="0" eb="2">
      <t>ジュウタク</t>
    </rPh>
    <rPh sb="2" eb="4">
      <t>クブン</t>
    </rPh>
    <phoneticPr fontId="1"/>
  </si>
  <si>
    <t>区市町村</t>
    <rPh sb="0" eb="2">
      <t>クシ</t>
    </rPh>
    <rPh sb="2" eb="4">
      <t>チョウソン</t>
    </rPh>
    <phoneticPr fontId="1"/>
  </si>
  <si>
    <t>該当有無区分</t>
    <rPh sb="0" eb="2">
      <t>ガイトウ</t>
    </rPh>
    <rPh sb="2" eb="4">
      <t>ウム</t>
    </rPh>
    <rPh sb="4" eb="6">
      <t>クブン</t>
    </rPh>
    <phoneticPr fontId="1"/>
  </si>
  <si>
    <t>該当事項区分</t>
    <rPh sb="0" eb="2">
      <t>ガイトウ</t>
    </rPh>
    <rPh sb="2" eb="4">
      <t>ジコウ</t>
    </rPh>
    <rPh sb="4" eb="6">
      <t>クブン</t>
    </rPh>
    <phoneticPr fontId="1"/>
  </si>
  <si>
    <t>説明実施区分</t>
    <rPh sb="0" eb="2">
      <t>セツメイ</t>
    </rPh>
    <rPh sb="2" eb="4">
      <t>ジッシ</t>
    </rPh>
    <rPh sb="4" eb="6">
      <t>クブン</t>
    </rPh>
    <phoneticPr fontId="1"/>
  </si>
  <si>
    <t>非住宅_用途区分</t>
    <rPh sb="0" eb="1">
      <t>ヒ</t>
    </rPh>
    <rPh sb="1" eb="3">
      <t>ジュウタク</t>
    </rPh>
    <rPh sb="4" eb="6">
      <t>ヨウト</t>
    </rPh>
    <rPh sb="6" eb="8">
      <t>クブン</t>
    </rPh>
    <phoneticPr fontId="1"/>
  </si>
  <si>
    <t>既存建築物_建物区分</t>
    <rPh sb="0" eb="2">
      <t>キゾン</t>
    </rPh>
    <rPh sb="2" eb="5">
      <t>ケンチクブツ</t>
    </rPh>
    <rPh sb="6" eb="8">
      <t>タテモノ</t>
    </rPh>
    <rPh sb="8" eb="10">
      <t>クブン</t>
    </rPh>
    <phoneticPr fontId="1"/>
  </si>
  <si>
    <t>引渡し状況区分</t>
    <rPh sb="0" eb="1">
      <t>ヒ</t>
    </rPh>
    <rPh sb="1" eb="2">
      <t>ワタ</t>
    </rPh>
    <rPh sb="3" eb="5">
      <t>ジョウキョウ</t>
    </rPh>
    <rPh sb="5" eb="7">
      <t>クブン</t>
    </rPh>
    <phoneticPr fontId="1"/>
  </si>
  <si>
    <t>適合区分_省エネ用</t>
    <rPh sb="0" eb="2">
      <t>テキゴウ</t>
    </rPh>
    <rPh sb="2" eb="4">
      <t>クブン</t>
    </rPh>
    <rPh sb="5" eb="6">
      <t>ショウ</t>
    </rPh>
    <rPh sb="8" eb="9">
      <t>ヨウ</t>
    </rPh>
    <phoneticPr fontId="1"/>
  </si>
  <si>
    <t>マスタ項目↓</t>
    <rPh sb="3" eb="5">
      <t>コウモク</t>
    </rPh>
    <phoneticPr fontId="1"/>
  </si>
  <si>
    <t>千代田区</t>
    <rPh sb="0" eb="4">
      <t>チヨダク</t>
    </rPh>
    <phoneticPr fontId="1"/>
  </si>
  <si>
    <t>該当有</t>
    <rPh sb="0" eb="2">
      <t>ガイトウ</t>
    </rPh>
    <rPh sb="2" eb="3">
      <t>アリ</t>
    </rPh>
    <phoneticPr fontId="1"/>
  </si>
  <si>
    <t>屋根面積</t>
    <phoneticPr fontId="1"/>
  </si>
  <si>
    <t>実施済</t>
    <rPh sb="0" eb="2">
      <t>ジッシ</t>
    </rPh>
    <rPh sb="2" eb="3">
      <t>ズ</t>
    </rPh>
    <phoneticPr fontId="1"/>
  </si>
  <si>
    <t>事務所等</t>
  </si>
  <si>
    <t>戸建住宅</t>
    <phoneticPr fontId="1"/>
  </si>
  <si>
    <t>引渡し前</t>
    <phoneticPr fontId="1"/>
  </si>
  <si>
    <t>中央区</t>
  </si>
  <si>
    <t>該当無</t>
    <rPh sb="0" eb="2">
      <t>ガイトウ</t>
    </rPh>
    <rPh sb="2" eb="3">
      <t>ナシ</t>
    </rPh>
    <phoneticPr fontId="1"/>
  </si>
  <si>
    <t>その他</t>
    <phoneticPr fontId="1"/>
  </si>
  <si>
    <t>未実施</t>
    <rPh sb="0" eb="3">
      <t>ミジッシ</t>
    </rPh>
    <phoneticPr fontId="1"/>
  </si>
  <si>
    <t>ホテル等</t>
  </si>
  <si>
    <t>共同住宅</t>
    <phoneticPr fontId="1"/>
  </si>
  <si>
    <t>引渡し済</t>
    <phoneticPr fontId="1"/>
  </si>
  <si>
    <t>適合しない</t>
    <rPh sb="0" eb="2">
      <t>テキゴウ</t>
    </rPh>
    <phoneticPr fontId="1"/>
  </si>
  <si>
    <t>港区</t>
  </si>
  <si>
    <t>実施予定</t>
    <rPh sb="0" eb="2">
      <t>ジッシ</t>
    </rPh>
    <rPh sb="2" eb="4">
      <t>ヨテイ</t>
    </rPh>
    <phoneticPr fontId="1"/>
  </si>
  <si>
    <t>病院等</t>
  </si>
  <si>
    <t>非住宅</t>
    <phoneticPr fontId="1"/>
  </si>
  <si>
    <t>新宿区</t>
  </si>
  <si>
    <t>百貨店等</t>
  </si>
  <si>
    <t>文京区</t>
  </si>
  <si>
    <t>学校等</t>
  </si>
  <si>
    <t>台東区</t>
  </si>
  <si>
    <t>飲食店等</t>
  </si>
  <si>
    <t>墨田区</t>
  </si>
  <si>
    <t>集会所等</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</si>
  <si>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</si>
  <si>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</si>
  <si>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</si>
  <si>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</si>
  <si>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</si>
  <si>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</si>
  <si>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</si>
  <si>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</si>
  <si>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</si>
  <si>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</si>
  <si>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</si>
  <si>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</si>
  <si>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</si>
  <si>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</si>
  <si>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</si>
  <si>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</si>
  <si>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</si>
  <si>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</si>
  <si>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</si>
  <si>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</si>
  <si>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</si>
  <si>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</si>
  <si>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</si>
  <si>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</si>
  <si>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</si>
  <si>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</si>
  <si>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</si>
  <si>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</si>
  <si>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</si>
  <si>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</si>
  <si>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</si>
  <si>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</si>
  <si>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</si>
  <si>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</si>
  <si>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</si>
  <si>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</si>
  <si>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</si>
  <si>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</si>
  <si>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</si>
  <si>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</si>
  <si>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</si>
  <si>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</si>
  <si>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</si>
  <si>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</si>
  <si>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</si>
  <si>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</si>
  <si>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戸建住宅（注文）</t>
  </si>
  <si>
    <t>戸建住宅（分譲）</t>
  </si>
  <si>
    <t>戸建住宅（その他）</t>
  </si>
  <si>
    <t>共同住宅（分譲）</t>
  </si>
  <si>
    <t>共同住宅（賃貸）</t>
  </si>
  <si>
    <t>共同住宅（その他）</t>
  </si>
  <si>
    <t>区分1</t>
    <phoneticPr fontId="1"/>
  </si>
  <si>
    <t>区分2</t>
  </si>
  <si>
    <t>区分3</t>
    <phoneticPr fontId="1"/>
  </si>
  <si>
    <t>自動判定用</t>
    <rPh sb="0" eb="2">
      <t>ジドウ</t>
    </rPh>
    <rPh sb="2" eb="5">
      <t>ハンテイヨウ</t>
    </rPh>
    <phoneticPr fontId="1"/>
  </si>
  <si>
    <t>区域区分</t>
    <rPh sb="0" eb="2">
      <t>クイキ</t>
    </rPh>
    <rPh sb="2" eb="4">
      <t>クブン</t>
    </rPh>
    <phoneticPr fontId="1"/>
  </si>
  <si>
    <t>棟</t>
    <rPh sb="0" eb="1">
      <t>トウ</t>
    </rPh>
    <phoneticPr fontId="1"/>
  </si>
  <si>
    <t>分譲戸建住宅以外かつ区分1の住宅棟数</t>
    <rPh sb="0" eb="2">
      <t>ブンジョウ</t>
    </rPh>
    <rPh sb="2" eb="4">
      <t>コダ</t>
    </rPh>
    <rPh sb="4" eb="6">
      <t>ジュウタク</t>
    </rPh>
    <rPh sb="6" eb="8">
      <t>イガイ</t>
    </rPh>
    <rPh sb="10" eb="12">
      <t>クブン</t>
    </rPh>
    <rPh sb="14" eb="16">
      <t>ジュウタク</t>
    </rPh>
    <rPh sb="16" eb="18">
      <t>トウスウ</t>
    </rPh>
    <phoneticPr fontId="1"/>
  </si>
  <si>
    <t>分譲戸建住宅以外かつ区分2の住宅棟数</t>
    <rPh sb="0" eb="2">
      <t>ブンジョウ</t>
    </rPh>
    <rPh sb="2" eb="4">
      <t>コダ</t>
    </rPh>
    <rPh sb="4" eb="6">
      <t>ジュウタク</t>
    </rPh>
    <rPh sb="6" eb="8">
      <t>イガイ</t>
    </rPh>
    <rPh sb="10" eb="12">
      <t>クブン</t>
    </rPh>
    <rPh sb="14" eb="16">
      <t>ジュウタク</t>
    </rPh>
    <rPh sb="16" eb="18">
      <t>トウスウ</t>
    </rPh>
    <phoneticPr fontId="1"/>
  </si>
  <si>
    <t>分譲戸建住宅以外かつ区分3の住宅棟数</t>
    <rPh sb="0" eb="2">
      <t>ブンジョウ</t>
    </rPh>
    <rPh sb="2" eb="4">
      <t>コダ</t>
    </rPh>
    <rPh sb="4" eb="6">
      <t>ジュウタク</t>
    </rPh>
    <rPh sb="6" eb="8">
      <t>イガイ</t>
    </rPh>
    <rPh sb="10" eb="12">
      <t>クブン</t>
    </rPh>
    <rPh sb="14" eb="16">
      <t>ジュウタク</t>
    </rPh>
    <rPh sb="16" eb="18">
      <t>トウスウ</t>
    </rPh>
    <phoneticPr fontId="1"/>
  </si>
  <si>
    <t>区分1の非住宅棟数</t>
    <rPh sb="0" eb="2">
      <t>クブン</t>
    </rPh>
    <rPh sb="4" eb="5">
      <t>ヒ</t>
    </rPh>
    <rPh sb="5" eb="7">
      <t>ジュウタク</t>
    </rPh>
    <rPh sb="7" eb="9">
      <t>トウスウ</t>
    </rPh>
    <phoneticPr fontId="1"/>
  </si>
  <si>
    <t>区分2の非住宅棟数</t>
    <rPh sb="0" eb="2">
      <t>クブン</t>
    </rPh>
    <rPh sb="4" eb="5">
      <t>ヒ</t>
    </rPh>
    <rPh sb="5" eb="7">
      <t>ジュウタク</t>
    </rPh>
    <rPh sb="7" eb="9">
      <t>トウスウ</t>
    </rPh>
    <phoneticPr fontId="1"/>
  </si>
  <si>
    <t>区分3の非住宅棟数</t>
    <rPh sb="0" eb="2">
      <t>クブン</t>
    </rPh>
    <rPh sb="4" eb="5">
      <t>ヒ</t>
    </rPh>
    <rPh sb="5" eb="7">
      <t>ジュウタク</t>
    </rPh>
    <rPh sb="7" eb="9">
      <t>トウスウ</t>
    </rPh>
    <phoneticPr fontId="1"/>
  </si>
  <si>
    <t>新たに建設し、又は新築しようとした棟数</t>
    <rPh sb="0" eb="1">
      <t>アラ</t>
    </rPh>
    <rPh sb="3" eb="5">
      <t>ケンセツ</t>
    </rPh>
    <rPh sb="7" eb="8">
      <t>マタ</t>
    </rPh>
    <rPh sb="9" eb="11">
      <t>シンチク</t>
    </rPh>
    <rPh sb="17" eb="19">
      <t>トウスウ</t>
    </rPh>
    <phoneticPr fontId="1"/>
  </si>
  <si>
    <t>分譲戸建住宅以外の建築物</t>
    <phoneticPr fontId="1"/>
  </si>
  <si>
    <t>区分1の重複棟数</t>
    <rPh sb="0" eb="2">
      <t>クブン</t>
    </rPh>
    <rPh sb="4" eb="6">
      <t>チョウフク</t>
    </rPh>
    <rPh sb="6" eb="8">
      <t>トウスウ</t>
    </rPh>
    <phoneticPr fontId="1"/>
  </si>
  <si>
    <t>区分2の重複棟数</t>
    <rPh sb="0" eb="2">
      <t>クブン</t>
    </rPh>
    <rPh sb="4" eb="6">
      <t>チョウフク</t>
    </rPh>
    <rPh sb="6" eb="8">
      <t>トウスウ</t>
    </rPh>
    <phoneticPr fontId="1"/>
  </si>
  <si>
    <t>区分3の重複棟数</t>
    <rPh sb="0" eb="2">
      <t>クブン</t>
    </rPh>
    <rPh sb="4" eb="6">
      <t>チョウフク</t>
    </rPh>
    <rPh sb="6" eb="8">
      <t>トウスウ</t>
    </rPh>
    <phoneticPr fontId="1"/>
  </si>
  <si>
    <t>入力不可用</t>
    <rPh sb="0" eb="2">
      <t>ニュウリョク</t>
    </rPh>
    <rPh sb="2" eb="4">
      <t>フカ</t>
    </rPh>
    <rPh sb="4" eb="5">
      <t>ヨウ</t>
    </rPh>
    <phoneticPr fontId="1"/>
  </si>
  <si>
    <t>条件判定用項目（非表示）</t>
    <rPh sb="0" eb="2">
      <t>ジョウケン</t>
    </rPh>
    <rPh sb="2" eb="5">
      <t>ハンテイヨウ</t>
    </rPh>
    <rPh sb="5" eb="7">
      <t>コウモク</t>
    </rPh>
    <rPh sb="8" eb="11">
      <t>ヒヒョウジ</t>
    </rPh>
    <phoneticPr fontId="1"/>
  </si>
  <si>
    <t/>
  </si>
  <si>
    <t>基準の算定から除く建築物の棟数</t>
    <phoneticPr fontId="1"/>
  </si>
  <si>
    <t>既存建築物等における新設容量</t>
    <rPh sb="0" eb="2">
      <t>キゾン</t>
    </rPh>
    <rPh sb="2" eb="5">
      <t>ケンチクブツ</t>
    </rPh>
    <rPh sb="5" eb="6">
      <t>トウ</t>
    </rPh>
    <rPh sb="10" eb="12">
      <t>シンセツ</t>
    </rPh>
    <rPh sb="12" eb="14">
      <t>ヨウリョウ</t>
    </rPh>
    <phoneticPr fontId="1"/>
  </si>
  <si>
    <t>Kw</t>
    <phoneticPr fontId="1"/>
  </si>
  <si>
    <t>任意</t>
    <rPh sb="0" eb="2">
      <t>ニンイ</t>
    </rPh>
    <phoneticPr fontId="1"/>
  </si>
  <si>
    <t>任意</t>
    <rPh sb="0" eb="2">
      <t>ニンイ</t>
    </rPh>
    <phoneticPr fontId="1"/>
  </si>
  <si>
    <t>必須</t>
    <rPh sb="0" eb="2">
      <t>ヒッス</t>
    </rPh>
    <phoneticPr fontId="1"/>
  </si>
  <si>
    <t>必須</t>
    <rPh sb="0" eb="2">
      <t>ヒッス</t>
    </rPh>
    <phoneticPr fontId="1"/>
  </si>
  <si>
    <t>　特定一戸建て住宅建築主
　特定一戸建て住宅建設工事業者
　特定共同住宅等建築主又は特定共同住宅等建設工事業者</t>
    <rPh sb="25" eb="26">
      <t>マタ</t>
    </rPh>
    <phoneticPr fontId="1"/>
  </si>
  <si>
    <t>一戸建築主</t>
    <phoneticPr fontId="1"/>
  </si>
  <si>
    <t>一戸工事業者</t>
    <phoneticPr fontId="1"/>
  </si>
  <si>
    <t>共同建築主・工事業者</t>
    <phoneticPr fontId="1"/>
  </si>
  <si>
    <t>　特定供給事業者
　知事が承認した特定供給事業者（任意参加者）
　特定供給事業者以外（任意提出者）]</t>
    <rPh sb="1" eb="3">
      <t>トクテイ</t>
    </rPh>
    <rPh sb="3" eb="5">
      <t>キョウキュウ</t>
    </rPh>
    <rPh sb="5" eb="8">
      <t>ジギョウシャ</t>
    </rPh>
    <rPh sb="10" eb="12">
      <t>チジ</t>
    </rPh>
    <rPh sb="13" eb="15">
      <t>ショウニン</t>
    </rPh>
    <rPh sb="17" eb="24">
      <t>トクテイキョウキュウジギョウシャ</t>
    </rPh>
    <rPh sb="25" eb="27">
      <t>ニンイ</t>
    </rPh>
    <rPh sb="27" eb="30">
      <t>サンカシャ</t>
    </rPh>
    <rPh sb="33" eb="40">
      <t>トクテイキョウキュウジギョウシャ</t>
    </rPh>
    <rPh sb="40" eb="42">
      <t>イガイ</t>
    </rPh>
    <rPh sb="43" eb="45">
      <t>ニンイ</t>
    </rPh>
    <rPh sb="45" eb="47">
      <t>テイシュツ</t>
    </rPh>
    <rPh sb="47" eb="48">
      <t>シャ</t>
    </rPh>
    <phoneticPr fontId="1"/>
  </si>
  <si>
    <t>選択結果</t>
    <rPh sb="0" eb="2">
      <t>センタク</t>
    </rPh>
    <rPh sb="2" eb="4">
      <t>ケッカ</t>
    </rPh>
    <phoneticPr fontId="1"/>
  </si>
  <si>
    <t>編集不可</t>
    <rPh sb="0" eb="2">
      <t>ヘンシュウ</t>
    </rPh>
    <rPh sb="2" eb="4">
      <t>フカ</t>
    </rPh>
    <phoneticPr fontId="1"/>
  </si>
  <si>
    <t>編集不可</t>
    <rPh sb="0" eb="2">
      <t>ヘンシュウ</t>
    </rPh>
    <rPh sb="2" eb="4">
      <t>フカ</t>
    </rPh>
    <phoneticPr fontId="1"/>
  </si>
  <si>
    <t>延べ面積</t>
    <rPh sb="0" eb="1">
      <t>ノ</t>
    </rPh>
    <rPh sb="2" eb="4">
      <t>メンセキ</t>
    </rPh>
    <phoneticPr fontId="1"/>
  </si>
  <si>
    <t>―</t>
    <phoneticPr fontId="1"/>
  </si>
  <si>
    <t>計算用UA値</t>
  </si>
  <si>
    <t>計算用住宅用途ＢＥＩ</t>
    <phoneticPr fontId="1"/>
  </si>
  <si>
    <t>最低UA値</t>
    <rPh sb="0" eb="2">
      <t>サイテイ</t>
    </rPh>
    <rPh sb="4" eb="5">
      <t>チ</t>
    </rPh>
    <phoneticPr fontId="1"/>
  </si>
  <si>
    <t>共同分譲</t>
    <phoneticPr fontId="1"/>
  </si>
  <si>
    <t>共同賃貸</t>
    <phoneticPr fontId="1"/>
  </si>
  <si>
    <t>基準適合</t>
    <rPh sb="0" eb="2">
      <t>キジュン</t>
    </rPh>
    <rPh sb="2" eb="4">
      <t>テキゴウ</t>
    </rPh>
    <phoneticPr fontId="1"/>
  </si>
  <si>
    <t>誘導適合</t>
    <rPh sb="0" eb="2">
      <t>ユウドウ</t>
    </rPh>
    <rPh sb="2" eb="4">
      <t>テキゴウ</t>
    </rPh>
    <phoneticPr fontId="1"/>
  </si>
  <si>
    <t>他共同</t>
    <rPh sb="0" eb="1">
      <t>ホカ</t>
    </rPh>
    <rPh sb="1" eb="3">
      <t>キョウドウ</t>
    </rPh>
    <phoneticPr fontId="1"/>
  </si>
  <si>
    <t>他戸建</t>
    <rPh sb="0" eb="1">
      <t>ホカ</t>
    </rPh>
    <rPh sb="1" eb="3">
      <t>コダ</t>
    </rPh>
    <phoneticPr fontId="1"/>
  </si>
  <si>
    <t>最低BEI</t>
    <rPh sb="0" eb="2">
      <t>サイテイ</t>
    </rPh>
    <phoneticPr fontId="1"/>
  </si>
  <si>
    <t>最低誘導BEI</t>
    <rPh sb="0" eb="2">
      <t>サイテイ</t>
    </rPh>
    <rPh sb="2" eb="4">
      <t>ユウドウ</t>
    </rPh>
    <phoneticPr fontId="1"/>
  </si>
  <si>
    <t>合致件数</t>
    <rPh sb="0" eb="2">
      <t>ガッチ</t>
    </rPh>
    <rPh sb="2" eb="4">
      <t>ケンスウ</t>
    </rPh>
    <phoneticPr fontId="1"/>
  </si>
  <si>
    <t>適合</t>
    <rPh sb="0" eb="2">
      <t>テキゴウ</t>
    </rPh>
    <phoneticPr fontId="1"/>
  </si>
  <si>
    <t>適合</t>
    <rPh sb="0" eb="2">
      <t>テキゴウ</t>
    </rPh>
    <phoneticPr fontId="1"/>
  </si>
  <si>
    <t>共分件数</t>
    <rPh sb="0" eb="1">
      <t>トモ</t>
    </rPh>
    <rPh sb="1" eb="2">
      <t>ブン</t>
    </rPh>
    <rPh sb="2" eb="4">
      <t>ケンスウ</t>
    </rPh>
    <phoneticPr fontId="1"/>
  </si>
  <si>
    <t>共賃件数</t>
    <rPh sb="0" eb="1">
      <t>トモ</t>
    </rPh>
    <rPh sb="1" eb="2">
      <t>チン</t>
    </rPh>
    <rPh sb="2" eb="4">
      <t>ケンスウ</t>
    </rPh>
    <phoneticPr fontId="1"/>
  </si>
  <si>
    <t>他戸件数</t>
    <rPh sb="0" eb="1">
      <t>ホカ</t>
    </rPh>
    <rPh sb="1" eb="2">
      <t>ト</t>
    </rPh>
    <rPh sb="2" eb="4">
      <t>ケンスウ</t>
    </rPh>
    <phoneticPr fontId="1"/>
  </si>
  <si>
    <t>他共件数</t>
    <rPh sb="0" eb="1">
      <t>ホカ</t>
    </rPh>
    <rPh sb="1" eb="2">
      <t>トモ</t>
    </rPh>
    <rPh sb="2" eb="4">
      <t>ケンスウ</t>
    </rPh>
    <phoneticPr fontId="1"/>
  </si>
  <si>
    <t>判定結果</t>
    <rPh sb="0" eb="2">
      <t>ハンテイ</t>
    </rPh>
    <rPh sb="2" eb="4">
      <t>ケッカ</t>
    </rPh>
    <phoneticPr fontId="1"/>
  </si>
  <si>
    <t>誘導対象外</t>
    <rPh sb="0" eb="2">
      <t>ユウドウ</t>
    </rPh>
    <rPh sb="2" eb="4">
      <t>タイショウ</t>
    </rPh>
    <rPh sb="4" eb="5">
      <t>ガイ</t>
    </rPh>
    <phoneticPr fontId="1"/>
  </si>
  <si>
    <t>基準対象外</t>
    <rPh sb="0" eb="2">
      <t>キジュン</t>
    </rPh>
    <rPh sb="2" eb="4">
      <t>タイショウ</t>
    </rPh>
    <phoneticPr fontId="1"/>
  </si>
  <si>
    <t>基準不適合</t>
    <rPh sb="0" eb="2">
      <t>キジュン</t>
    </rPh>
    <rPh sb="2" eb="5">
      <t>フテキゴウ</t>
    </rPh>
    <phoneticPr fontId="1"/>
  </si>
  <si>
    <t>適合しない</t>
    <rPh sb="0" eb="2">
      <t>テキゴウ</t>
    </rPh>
    <phoneticPr fontId="1"/>
  </si>
  <si>
    <t>誘導不適合</t>
    <rPh sb="0" eb="2">
      <t>ユウドウ</t>
    </rPh>
    <rPh sb="2" eb="5">
      <t>フテキゴウ</t>
    </rPh>
    <phoneticPr fontId="1"/>
  </si>
  <si>
    <t>入力チェック</t>
    <rPh sb="0" eb="2">
      <t>ニュウリョク</t>
    </rPh>
    <phoneticPr fontId="1"/>
  </si>
  <si>
    <t>BPI</t>
    <phoneticPr fontId="1"/>
  </si>
  <si>
    <t>対象外</t>
    <rPh sb="0" eb="3">
      <t>タイショウガイ</t>
    </rPh>
    <phoneticPr fontId="1"/>
  </si>
  <si>
    <t>判定結果</t>
    <rPh sb="0" eb="2">
      <t>ハンテイ</t>
    </rPh>
    <rPh sb="2" eb="4">
      <t>ケッカ</t>
    </rPh>
    <phoneticPr fontId="1"/>
  </si>
  <si>
    <t>定数</t>
    <rPh sb="0" eb="2">
      <t>テイスウ</t>
    </rPh>
    <phoneticPr fontId="1"/>
  </si>
  <si>
    <t>適合件数</t>
    <rPh sb="0" eb="2">
      <t>テキゴウ</t>
    </rPh>
    <rPh sb="2" eb="4">
      <t>ケンスウ</t>
    </rPh>
    <phoneticPr fontId="1"/>
  </si>
  <si>
    <t>不適合件数</t>
    <rPh sb="0" eb="3">
      <t>フテキゴウ</t>
    </rPh>
    <rPh sb="3" eb="5">
      <t>ケンスウ</t>
    </rPh>
    <phoneticPr fontId="1"/>
  </si>
  <si>
    <t>対象外件数</t>
    <rPh sb="0" eb="3">
      <t>タイショウガイ</t>
    </rPh>
    <rPh sb="3" eb="5">
      <t>ケンスウ</t>
    </rPh>
    <phoneticPr fontId="1"/>
  </si>
  <si>
    <t>オ　中小規模特定建築物等に係る措置に関する説明の実施状況</t>
    <rPh sb="26" eb="28">
      <t>ジョウキョウ</t>
    </rPh>
    <phoneticPr fontId="1"/>
  </si>
  <si>
    <t>未実施件数</t>
    <rPh sb="0" eb="3">
      <t>ミジッシ</t>
    </rPh>
    <rPh sb="3" eb="5">
      <t>ケンスウ</t>
    </rPh>
    <phoneticPr fontId="1"/>
  </si>
  <si>
    <t>未入力件数</t>
    <rPh sb="0" eb="3">
      <t>ミニュウリョク</t>
    </rPh>
    <rPh sb="3" eb="5">
      <t>ケンスウ</t>
    </rPh>
    <phoneticPr fontId="1"/>
  </si>
  <si>
    <t>チェック項目</t>
    <rPh sb="4" eb="6">
      <t>コウモク</t>
    </rPh>
    <phoneticPr fontId="1"/>
  </si>
  <si>
    <t>小数桁数チェック</t>
    <rPh sb="0" eb="2">
      <t>ショウスウ</t>
    </rPh>
    <rPh sb="2" eb="4">
      <t>ケタスウ</t>
    </rPh>
    <phoneticPr fontId="1"/>
  </si>
  <si>
    <t>建物名称</t>
    <rPh sb="0" eb="2">
      <t>タテモノ</t>
    </rPh>
    <rPh sb="2" eb="4">
      <t>メイショウ</t>
    </rPh>
    <phoneticPr fontId="1"/>
  </si>
  <si>
    <t>―</t>
    <phoneticPr fontId="1"/>
  </si>
  <si>
    <t>定数</t>
    <rPh sb="0" eb="2">
      <t>テイスウ</t>
    </rPh>
    <phoneticPr fontId="1"/>
  </si>
  <si>
    <t>適合</t>
    <rPh sb="0" eb="2">
      <t>テキゴウ</t>
    </rPh>
    <phoneticPr fontId="1"/>
  </si>
  <si>
    <t>適合しない</t>
    <rPh sb="0" eb="2">
      <t>テキゴウ</t>
    </rPh>
    <phoneticPr fontId="1"/>
  </si>
  <si>
    <t>BEI</t>
    <phoneticPr fontId="1"/>
  </si>
  <si>
    <t>判定結果</t>
    <rPh sb="0" eb="2">
      <t>ハンテイ</t>
    </rPh>
    <rPh sb="2" eb="4">
      <t>ケッカ</t>
    </rPh>
    <phoneticPr fontId="1"/>
  </si>
  <si>
    <t>UA値</t>
    <rPh sb="2" eb="3">
      <t>チ</t>
    </rPh>
    <phoneticPr fontId="1"/>
  </si>
  <si>
    <t>該当事項</t>
    <rPh sb="0" eb="2">
      <t>ガイトウ</t>
    </rPh>
    <rPh sb="2" eb="4">
      <t>ジコウ</t>
    </rPh>
    <phoneticPr fontId="1"/>
  </si>
  <si>
    <t>入力不可用(2)</t>
    <rPh sb="0" eb="2">
      <t>ニュウリョク</t>
    </rPh>
    <rPh sb="2" eb="4">
      <t>フカ</t>
    </rPh>
    <rPh sb="4" eb="5">
      <t>ヨウ</t>
    </rPh>
    <phoneticPr fontId="1"/>
  </si>
  <si>
    <t>入力不可チェック</t>
    <rPh sb="0" eb="2">
      <t>ニュウリョク</t>
    </rPh>
    <rPh sb="2" eb="4">
      <t>フカ</t>
    </rPh>
    <phoneticPr fontId="1"/>
  </si>
  <si>
    <t>BPI</t>
    <phoneticPr fontId="1"/>
  </si>
  <si>
    <t>該当事項</t>
    <rPh sb="0" eb="2">
      <t>ガイトウ</t>
    </rPh>
    <rPh sb="2" eb="4">
      <t>ジコウ</t>
    </rPh>
    <phoneticPr fontId="1"/>
  </si>
  <si>
    <t>基準一次エネルギー消費量</t>
    <phoneticPr fontId="1"/>
  </si>
  <si>
    <t>設計一次エネルギー消費量</t>
    <rPh sb="0" eb="2">
      <t>セッケイ</t>
    </rPh>
    <rPh sb="2" eb="4">
      <t>イチジ</t>
    </rPh>
    <rPh sb="9" eb="12">
      <t>ショウヒリョウ</t>
    </rPh>
    <phoneticPr fontId="1"/>
  </si>
  <si>
    <t>太陽熱を利用する設備</t>
    <rPh sb="0" eb="3">
      <t>タイヨウネツ</t>
    </rPh>
    <rPh sb="4" eb="6">
      <t>リヨウ</t>
    </rPh>
    <rPh sb="8" eb="10">
      <t>セツビ</t>
    </rPh>
    <phoneticPr fontId="1"/>
  </si>
  <si>
    <t>地中熱を利用する設備</t>
    <rPh sb="0" eb="2">
      <t>チチュウ</t>
    </rPh>
    <rPh sb="2" eb="3">
      <t>ネツ</t>
    </rPh>
    <rPh sb="4" eb="6">
      <t>リヨウ</t>
    </rPh>
    <rPh sb="8" eb="10">
      <t>セツビ</t>
    </rPh>
    <phoneticPr fontId="1"/>
  </si>
  <si>
    <t>配管等</t>
    <rPh sb="0" eb="2">
      <t>ハイカン</t>
    </rPh>
    <rPh sb="2" eb="3">
      <t>トウ</t>
    </rPh>
    <phoneticPr fontId="1"/>
  </si>
  <si>
    <t>Ｖ２Ｈ</t>
    <phoneticPr fontId="1"/>
  </si>
  <si>
    <t>誘導一次エネルギー消費量</t>
    <rPh sb="0" eb="2">
      <t>ユウドウ</t>
    </rPh>
    <phoneticPr fontId="1"/>
  </si>
  <si>
    <t>基準一次エネルギー消費量</t>
    <phoneticPr fontId="1"/>
  </si>
  <si>
    <t>延べ面積の合計</t>
    <rPh sb="0" eb="1">
      <t>ノ</t>
    </rPh>
    <rPh sb="2" eb="4">
      <t>メンセキ</t>
    </rPh>
    <rPh sb="5" eb="7">
      <t>ゴウケイ</t>
    </rPh>
    <phoneticPr fontId="1"/>
  </si>
  <si>
    <t>太陽光発電設備</t>
    <rPh sb="0" eb="3">
      <t>タイヨウコウ</t>
    </rPh>
    <rPh sb="3" eb="5">
      <t>ハツデン</t>
    </rPh>
    <rPh sb="5" eb="7">
      <t>セツビ</t>
    </rPh>
    <phoneticPr fontId="1"/>
  </si>
  <si>
    <t>誘導基準一次エネルギー消費量</t>
    <rPh sb="0" eb="2">
      <t>ユウドウ</t>
    </rPh>
    <phoneticPr fontId="1"/>
  </si>
  <si>
    <t>誘導設計一次エネルギー消費量</t>
    <rPh sb="0" eb="2">
      <t>ユウドウ</t>
    </rPh>
    <rPh sb="2" eb="4">
      <t>セッケイ</t>
    </rPh>
    <rPh sb="4" eb="6">
      <t>イチジ</t>
    </rPh>
    <rPh sb="11" eb="14">
      <t>ショウヒリョウ</t>
    </rPh>
    <phoneticPr fontId="1"/>
  </si>
  <si>
    <t>建築物の引渡し等の状況</t>
    <rPh sb="0" eb="3">
      <t>ケンチクブツ</t>
    </rPh>
    <rPh sb="4" eb="6">
      <t>ヒキワタ</t>
    </rPh>
    <rPh sb="7" eb="8">
      <t>トウ</t>
    </rPh>
    <rPh sb="9" eb="11">
      <t>ジョウキョウ</t>
    </rPh>
    <phoneticPr fontId="1"/>
  </si>
  <si>
    <t>確認済証発行日</t>
    <rPh sb="0" eb="2">
      <t>カクニン</t>
    </rPh>
    <rPh sb="2" eb="3">
      <t>ズミ</t>
    </rPh>
    <rPh sb="3" eb="4">
      <t>ショウ</t>
    </rPh>
    <rPh sb="4" eb="6">
      <t>ハッコウ</t>
    </rPh>
    <rPh sb="6" eb="7">
      <t>ビ</t>
    </rPh>
    <phoneticPr fontId="1"/>
  </si>
  <si>
    <t>性能基準に対する適合状況</t>
    <rPh sb="0" eb="2">
      <t>セイノウ</t>
    </rPh>
    <phoneticPr fontId="1"/>
  </si>
  <si>
    <t>誘導すべき基準に対する適合状況</t>
    <rPh sb="0" eb="2">
      <t>ユウドウ</t>
    </rPh>
    <rPh sb="5" eb="7">
      <t>キジュン</t>
    </rPh>
    <rPh sb="8" eb="9">
      <t>タイ</t>
    </rPh>
    <rPh sb="11" eb="13">
      <t>テキゴウ</t>
    </rPh>
    <rPh sb="13" eb="15">
      <t>ジョウキョウ</t>
    </rPh>
    <phoneticPr fontId="1"/>
  </si>
  <si>
    <t>住宅用途ＢＥＩ（誘導基準）</t>
    <rPh sb="0" eb="2">
      <t>ジュウタク</t>
    </rPh>
    <rPh sb="2" eb="4">
      <t>ヨウト</t>
    </rPh>
    <rPh sb="8" eb="10">
      <t>ユウドウ</t>
    </rPh>
    <rPh sb="10" eb="12">
      <t>キジュン</t>
    </rPh>
    <phoneticPr fontId="1"/>
  </si>
  <si>
    <t>誘導すべき基準に対する適合状況</t>
    <rPh sb="0" eb="2">
      <t>ユウドウ</t>
    </rPh>
    <rPh sb="5" eb="6">
      <t>ジュン</t>
    </rPh>
    <rPh sb="7" eb="8">
      <t>タイ</t>
    </rPh>
    <rPh sb="11" eb="13">
      <t>テキゴウ</t>
    </rPh>
    <rPh sb="12" eb="14">
      <t>ジョウキョウ</t>
    </rPh>
    <phoneticPr fontId="1"/>
  </si>
  <si>
    <t>該当事項（該当有の場合）</t>
    <rPh sb="0" eb="2">
      <t>ガイトウ</t>
    </rPh>
    <rPh sb="2" eb="4">
      <t>ジコウ</t>
    </rPh>
    <rPh sb="4" eb="6">
      <t>ガイトウ</t>
    </rPh>
    <rPh sb="6" eb="7">
      <t>アリ</t>
    </rPh>
    <rPh sb="9" eb="11">
      <t>バアイ</t>
    </rPh>
    <phoneticPr fontId="1"/>
  </si>
  <si>
    <t>駐車施設の区画数</t>
    <rPh sb="0" eb="2">
      <t>チュウシャ</t>
    </rPh>
    <rPh sb="2" eb="4">
      <t>シセツ</t>
    </rPh>
    <rPh sb="5" eb="7">
      <t>クカク</t>
    </rPh>
    <rPh sb="7" eb="8">
      <t>スウ</t>
    </rPh>
    <phoneticPr fontId="1"/>
  </si>
  <si>
    <t>充電用コンセント及び普通充電設備</t>
    <rPh sb="0" eb="2">
      <t>ジュウデン</t>
    </rPh>
    <rPh sb="2" eb="3">
      <t>ヨウ</t>
    </rPh>
    <rPh sb="8" eb="9">
      <t>オヨ</t>
    </rPh>
    <rPh sb="10" eb="12">
      <t>フツウ</t>
    </rPh>
    <rPh sb="12" eb="14">
      <t>ジュウデン</t>
    </rPh>
    <rPh sb="14" eb="16">
      <t>セツビ</t>
    </rPh>
    <phoneticPr fontId="1"/>
  </si>
  <si>
    <t>急速充電設備（左：区画/右：kW）</t>
    <rPh sb="0" eb="2">
      <t>キュウソク</t>
    </rPh>
    <rPh sb="2" eb="4">
      <t>ジュウデン</t>
    </rPh>
    <rPh sb="4" eb="6">
      <t>セツビ</t>
    </rPh>
    <rPh sb="7" eb="8">
      <t>ヒダリ</t>
    </rPh>
    <rPh sb="9" eb="11">
      <t>クカク</t>
    </rPh>
    <rPh sb="12" eb="13">
      <t>ミギ</t>
    </rPh>
    <phoneticPr fontId="1"/>
  </si>
  <si>
    <t>基準適合状況判定用住宅区分</t>
    <phoneticPr fontId="1"/>
  </si>
  <si>
    <t>計算用UA値（誘導基準）</t>
    <phoneticPr fontId="1"/>
  </si>
  <si>
    <t>計算用住宅用途ＢＥＩ（誘導基準）</t>
    <phoneticPr fontId="1"/>
  </si>
  <si>
    <t>既存建築物の引渡し等に関する事項</t>
    <rPh sb="0" eb="2">
      <t>キゾン</t>
    </rPh>
    <rPh sb="2" eb="5">
      <t>ケンチクブツ</t>
    </rPh>
    <rPh sb="6" eb="7">
      <t>ヒ</t>
    </rPh>
    <rPh sb="7" eb="8">
      <t>ワタ</t>
    </rPh>
    <rPh sb="9" eb="10">
      <t>トウ</t>
    </rPh>
    <rPh sb="11" eb="12">
      <t>カン</t>
    </rPh>
    <rPh sb="14" eb="16">
      <t>ジコウ</t>
    </rPh>
    <phoneticPr fontId="1"/>
  </si>
  <si>
    <t>再エネ利用設備の設置に関する事項</t>
    <rPh sb="0" eb="1">
      <t>サイ</t>
    </rPh>
    <rPh sb="3" eb="5">
      <t>リヨウ</t>
    </rPh>
    <rPh sb="5" eb="7">
      <t>セツビ</t>
    </rPh>
    <rPh sb="8" eb="10">
      <t>セッチ</t>
    </rPh>
    <rPh sb="11" eb="12">
      <t>カン</t>
    </rPh>
    <rPh sb="14" eb="16">
      <t>ジコウ</t>
    </rPh>
    <phoneticPr fontId="1"/>
  </si>
  <si>
    <t>非住宅用途ＢＥＩ（誘導基準）</t>
    <rPh sb="0" eb="1">
      <t>ヒ</t>
    </rPh>
    <rPh sb="1" eb="3">
      <t>ジュウタク</t>
    </rPh>
    <rPh sb="3" eb="5">
      <t>ヨウト</t>
    </rPh>
    <rPh sb="9" eb="11">
      <t>ユウドウ</t>
    </rPh>
    <rPh sb="11" eb="13">
      <t>キジュン</t>
    </rPh>
    <phoneticPr fontId="1"/>
  </si>
  <si>
    <t>TRIM後関連管理番号（住宅）</t>
    <rPh sb="4" eb="5">
      <t>ゴ</t>
    </rPh>
    <phoneticPr fontId="1"/>
  </si>
  <si>
    <t>設計合計</t>
    <rPh sb="0" eb="2">
      <t>セッケイ</t>
    </rPh>
    <rPh sb="2" eb="4">
      <t>ゴウケイ</t>
    </rPh>
    <phoneticPr fontId="1"/>
  </si>
  <si>
    <t>BEI計算</t>
    <rPh sb="3" eb="5">
      <t>ケイサン</t>
    </rPh>
    <phoneticPr fontId="1"/>
  </si>
  <si>
    <t>誘導BEI計算</t>
    <rPh sb="0" eb="2">
      <t>ユウドウ</t>
    </rPh>
    <rPh sb="5" eb="7">
      <t>ケイサン</t>
    </rPh>
    <phoneticPr fontId="1"/>
  </si>
  <si>
    <t>基準合計</t>
    <rPh sb="0" eb="2">
      <t>キジュン</t>
    </rPh>
    <rPh sb="2" eb="4">
      <t>ゴウケイ</t>
    </rPh>
    <phoneticPr fontId="1"/>
  </si>
  <si>
    <t>誘導設計合計</t>
    <rPh sb="0" eb="2">
      <t>ユウドウ</t>
    </rPh>
    <rPh sb="2" eb="4">
      <t>セッケイ</t>
    </rPh>
    <rPh sb="4" eb="6">
      <t>ゴウケイ</t>
    </rPh>
    <phoneticPr fontId="1"/>
  </si>
  <si>
    <t>基準誘導合計</t>
    <rPh sb="0" eb="2">
      <t>キジュン</t>
    </rPh>
    <rPh sb="2" eb="4">
      <t>ユウドウ</t>
    </rPh>
    <rPh sb="4" eb="6">
      <t>ゴウケイ</t>
    </rPh>
    <phoneticPr fontId="1"/>
  </si>
  <si>
    <t>設計一次エネルギー消費量</t>
    <rPh sb="0" eb="2">
      <t>セッケイ</t>
    </rPh>
    <rPh sb="2" eb="4">
      <t>イチジ</t>
    </rPh>
    <phoneticPr fontId="1"/>
  </si>
  <si>
    <t>誘導設計一次エネルギー消費量</t>
    <rPh sb="0" eb="2">
      <t>ユウドウ</t>
    </rPh>
    <rPh sb="2" eb="4">
      <t>セッケイ</t>
    </rPh>
    <rPh sb="4" eb="6">
      <t>イチジ</t>
    </rPh>
    <phoneticPr fontId="1"/>
  </si>
  <si>
    <t>誘導BEI</t>
    <rPh sb="0" eb="2">
      <t>ユウドウ</t>
    </rPh>
    <phoneticPr fontId="1"/>
  </si>
  <si>
    <t>急速充電設備 -区画相当</t>
    <rPh sb="0" eb="2">
      <t>キュウソク</t>
    </rPh>
    <rPh sb="2" eb="4">
      <t>ジュウデン</t>
    </rPh>
    <rPh sb="4" eb="6">
      <t>セツビ</t>
    </rPh>
    <rPh sb="8" eb="10">
      <t>クカク</t>
    </rPh>
    <rPh sb="10" eb="12">
      <t>ソウトウ</t>
    </rPh>
    <phoneticPr fontId="1"/>
  </si>
  <si>
    <t>非住宅用途ＢＥＩ</t>
    <phoneticPr fontId="1"/>
  </si>
  <si>
    <t>非住宅用途ＢＥＩ（誘導基準）</t>
    <phoneticPr fontId="1"/>
  </si>
  <si>
    <t>工場件数</t>
    <rPh sb="0" eb="2">
      <t>コウジョウ</t>
    </rPh>
    <rPh sb="2" eb="4">
      <t>ケンスウ</t>
    </rPh>
    <phoneticPr fontId="1"/>
  </si>
  <si>
    <t>必須入力チェック</t>
    <rPh sb="0" eb="2">
      <t>ヒッス</t>
    </rPh>
    <rPh sb="2" eb="4">
      <t>ニュウリョク</t>
    </rPh>
    <phoneticPr fontId="1"/>
  </si>
  <si>
    <t>必須入力項目</t>
    <rPh sb="0" eb="2">
      <t>ヒッス</t>
    </rPh>
    <rPh sb="2" eb="4">
      <t>ニュウリョク</t>
    </rPh>
    <rPh sb="4" eb="6">
      <t>コウモク</t>
    </rPh>
    <phoneticPr fontId="1"/>
  </si>
  <si>
    <t>必須入力チェック</t>
    <rPh sb="0" eb="2">
      <t>ヒッス</t>
    </rPh>
    <rPh sb="2" eb="4">
      <t>ニュウリョク</t>
    </rPh>
    <phoneticPr fontId="1"/>
  </si>
  <si>
    <t>必須入力項目</t>
    <rPh sb="0" eb="2">
      <t>ヒッス</t>
    </rPh>
    <rPh sb="2" eb="4">
      <t>ニュウリョク</t>
    </rPh>
    <rPh sb="4" eb="6">
      <t>コウモク</t>
    </rPh>
    <phoneticPr fontId="1"/>
  </si>
  <si>
    <t>入力値チェック</t>
    <rPh sb="0" eb="3">
      <t>ニュウリョクチ</t>
    </rPh>
    <phoneticPr fontId="1"/>
  </si>
  <si>
    <t>UA値 - 住宅仕様基準への適合</t>
    <rPh sb="2" eb="3">
      <t>チ</t>
    </rPh>
    <phoneticPr fontId="1"/>
  </si>
  <si>
    <t>BEI - 住宅仕様基準への適合</t>
    <phoneticPr fontId="1"/>
  </si>
  <si>
    <t>BEI - 住宅誘導仕様基準への適合</t>
    <rPh sb="8" eb="10">
      <t>ユウドウ</t>
    </rPh>
    <phoneticPr fontId="1"/>
  </si>
  <si>
    <t>工場等（BPI適用）</t>
    <rPh sb="0" eb="2">
      <t>コウジョウ</t>
    </rPh>
    <rPh sb="2" eb="3">
      <t>トウ</t>
    </rPh>
    <rPh sb="7" eb="9">
      <t>テキヨウ</t>
    </rPh>
    <phoneticPr fontId="1"/>
  </si>
  <si>
    <t>適合区分_仕様基準用</t>
    <rPh sb="0" eb="2">
      <t>テキゴウ</t>
    </rPh>
    <rPh sb="2" eb="4">
      <t>クブン</t>
    </rPh>
    <rPh sb="5" eb="7">
      <t>シヨウ</t>
    </rPh>
    <rPh sb="7" eb="9">
      <t>キジュン</t>
    </rPh>
    <rPh sb="9" eb="10">
      <t>ヨウ</t>
    </rPh>
    <phoneticPr fontId="1"/>
  </si>
  <si>
    <t>工場等（BPI適用外）</t>
    <rPh sb="7" eb="9">
      <t>テキヨウ</t>
    </rPh>
    <rPh sb="9" eb="10">
      <t>ガイ</t>
    </rPh>
    <phoneticPr fontId="1"/>
  </si>
  <si>
    <t>備考　報告対象年度に都内において新たに建設し、又は新築しようとした中小規模特定建築物（住宅の用途）を全て記載すること。</t>
    <phoneticPr fontId="1"/>
  </si>
  <si>
    <t>バージョン</t>
    <phoneticPr fontId="1"/>
  </si>
  <si>
    <t>1.0.0</t>
    <phoneticPr fontId="1"/>
  </si>
  <si>
    <t>更新箇所</t>
    <rPh sb="0" eb="2">
      <t>コウシン</t>
    </rPh>
    <rPh sb="2" eb="4">
      <t>カショ</t>
    </rPh>
    <phoneticPr fontId="1"/>
  </si>
  <si>
    <t>初版公開</t>
    <rPh sb="0" eb="1">
      <t>ショ</t>
    </rPh>
    <rPh sb="1" eb="2">
      <t>バン</t>
    </rPh>
    <rPh sb="2" eb="4">
      <t>コウカイ</t>
    </rPh>
    <phoneticPr fontId="1"/>
  </si>
  <si>
    <t>南面等屋根の種類（1番目）</t>
    <rPh sb="0" eb="2">
      <t>ナンメン</t>
    </rPh>
    <rPh sb="2" eb="3">
      <t>トウ</t>
    </rPh>
    <rPh sb="3" eb="5">
      <t>ヤネ</t>
    </rPh>
    <rPh sb="6" eb="8">
      <t>シュルイ</t>
    </rPh>
    <rPh sb="10" eb="12">
      <t>バンメ</t>
    </rPh>
    <phoneticPr fontId="1"/>
  </si>
  <si>
    <t>南面等屋根の水平投影面積（1番目）</t>
    <rPh sb="0" eb="2">
      <t>ナンメン</t>
    </rPh>
    <rPh sb="2" eb="3">
      <t>トウ</t>
    </rPh>
    <rPh sb="3" eb="5">
      <t>ヤネ</t>
    </rPh>
    <rPh sb="6" eb="8">
      <t>スイヘイ</t>
    </rPh>
    <rPh sb="8" eb="10">
      <t>トウエイ</t>
    </rPh>
    <rPh sb="10" eb="12">
      <t>メンセキ</t>
    </rPh>
    <rPh sb="14" eb="16">
      <t>バンメ</t>
    </rPh>
    <phoneticPr fontId="1"/>
  </si>
  <si>
    <t>006</t>
    <phoneticPr fontId="1"/>
  </si>
  <si>
    <t>011</t>
    <phoneticPr fontId="1"/>
  </si>
  <si>
    <t>屋根区分</t>
    <rPh sb="0" eb="2">
      <t>ヤネ</t>
    </rPh>
    <rPh sb="2" eb="4">
      <t>クブン</t>
    </rPh>
    <phoneticPr fontId="1"/>
  </si>
  <si>
    <t>傾斜屋根</t>
    <rPh sb="0" eb="2">
      <t>ケイシャ</t>
    </rPh>
    <rPh sb="2" eb="4">
      <t>ヤネ</t>
    </rPh>
    <phoneticPr fontId="1"/>
  </si>
  <si>
    <t>水平屋根</t>
    <rPh sb="0" eb="2">
      <t>スイヘイ</t>
    </rPh>
    <rPh sb="2" eb="4">
      <t>ヤネ</t>
    </rPh>
    <phoneticPr fontId="1"/>
  </si>
  <si>
    <t>南面等屋根の種類（2番目）</t>
    <rPh sb="0" eb="2">
      <t>ナンメン</t>
    </rPh>
    <rPh sb="2" eb="3">
      <t>トウ</t>
    </rPh>
    <rPh sb="3" eb="5">
      <t>ヤネ</t>
    </rPh>
    <rPh sb="6" eb="8">
      <t>シュルイ</t>
    </rPh>
    <rPh sb="10" eb="12">
      <t>バンメ</t>
    </rPh>
    <phoneticPr fontId="1"/>
  </si>
  <si>
    <t>南面等屋根の水平投影面積（2番目）</t>
    <rPh sb="0" eb="2">
      <t>ナンメン</t>
    </rPh>
    <rPh sb="2" eb="3">
      <t>トウ</t>
    </rPh>
    <rPh sb="3" eb="5">
      <t>ヤネ</t>
    </rPh>
    <rPh sb="6" eb="8">
      <t>スイヘイ</t>
    </rPh>
    <rPh sb="8" eb="10">
      <t>トウエイ</t>
    </rPh>
    <rPh sb="10" eb="12">
      <t>メンセキ</t>
    </rPh>
    <rPh sb="14" eb="16">
      <t>バンメ</t>
    </rPh>
    <phoneticPr fontId="1"/>
  </si>
  <si>
    <t>関連建物番号（住宅）</t>
    <rPh sb="0" eb="2">
      <t>カンレン</t>
    </rPh>
    <rPh sb="2" eb="4">
      <t>タテモノ</t>
    </rPh>
    <rPh sb="4" eb="6">
      <t>バンゴウ</t>
    </rPh>
    <rPh sb="7" eb="9">
      <t>ジュウタク</t>
    </rPh>
    <phoneticPr fontId="1"/>
  </si>
  <si>
    <t>駐車施設の区画の有無</t>
    <rPh sb="0" eb="4">
      <t>チュウシャシセツ</t>
    </rPh>
    <rPh sb="5" eb="7">
      <t>クカク</t>
    </rPh>
    <rPh sb="8" eb="10">
      <t>ウム</t>
    </rPh>
    <phoneticPr fontId="1"/>
  </si>
  <si>
    <t>012</t>
    <phoneticPr fontId="1"/>
  </si>
  <si>
    <t>駐車施設の区画の有無</t>
    <rPh sb="0" eb="2">
      <t>チュウシャ</t>
    </rPh>
    <rPh sb="2" eb="4">
      <t>シセツ</t>
    </rPh>
    <rPh sb="5" eb="7">
      <t>クカク</t>
    </rPh>
    <rPh sb="8" eb="10">
      <t>ウム</t>
    </rPh>
    <phoneticPr fontId="1"/>
  </si>
  <si>
    <t>有</t>
    <rPh sb="0" eb="1">
      <t>アリ</t>
    </rPh>
    <phoneticPr fontId="1"/>
  </si>
  <si>
    <t>有(10区画未満)</t>
    <rPh sb="0" eb="1">
      <t>アリ</t>
    </rPh>
    <rPh sb="4" eb="6">
      <t>クカク</t>
    </rPh>
    <rPh sb="6" eb="8">
      <t>ミマン</t>
    </rPh>
    <phoneticPr fontId="1"/>
  </si>
  <si>
    <t>無</t>
    <rPh sb="0" eb="1">
      <t>ナ</t>
    </rPh>
    <phoneticPr fontId="1"/>
  </si>
  <si>
    <t>（１～４、５～７は順不同です）</t>
    <phoneticPr fontId="35"/>
  </si>
  <si>
    <t>＜情報の入力＞</t>
    <rPh sb="1" eb="3">
      <t>ジョウホウ</t>
    </rPh>
    <rPh sb="4" eb="6">
      <t>ニュウリョク</t>
    </rPh>
    <phoneticPr fontId="35"/>
  </si>
  <si>
    <r>
      <t>１．その１事業者基本情報の入力　</t>
    </r>
    <r>
      <rPr>
        <b/>
        <sz val="14"/>
        <color rgb="FFC00000"/>
        <rFont val="Meiryo UI"/>
        <family val="3"/>
        <charset val="128"/>
      </rPr>
      <t>※必須</t>
    </r>
    <rPh sb="5" eb="8">
      <t>ジギョウシャ</t>
    </rPh>
    <rPh sb="8" eb="10">
      <t>キホン</t>
    </rPh>
    <rPh sb="10" eb="12">
      <t>ジョウホウ</t>
    </rPh>
    <rPh sb="13" eb="15">
      <t>ニュウリョク</t>
    </rPh>
    <rPh sb="17" eb="19">
      <t>ヒッス</t>
    </rPh>
    <phoneticPr fontId="35"/>
  </si>
  <si>
    <t>その１事業者基本情報_入力シートで、事業者情報を入力します。</t>
    <rPh sb="3" eb="6">
      <t>ジギョウシャ</t>
    </rPh>
    <rPh sb="6" eb="10">
      <t>キホンジョウホウ</t>
    </rPh>
    <rPh sb="11" eb="13">
      <t>ニュウリョク</t>
    </rPh>
    <rPh sb="18" eb="21">
      <t>ジギョウシャ</t>
    </rPh>
    <rPh sb="21" eb="23">
      <t>ジョウホウ</t>
    </rPh>
    <rPh sb="24" eb="26">
      <t>ニュウリョク</t>
    </rPh>
    <phoneticPr fontId="35"/>
  </si>
  <si>
    <t>その１事業者基本情報の入力シートへ</t>
    <rPh sb="3" eb="6">
      <t>ジギョウシャ</t>
    </rPh>
    <rPh sb="6" eb="8">
      <t>キホン</t>
    </rPh>
    <rPh sb="8" eb="10">
      <t>ジョウホウ</t>
    </rPh>
    <rPh sb="11" eb="13">
      <t>ニュウリョク</t>
    </rPh>
    <phoneticPr fontId="35"/>
  </si>
  <si>
    <t>必須：水色　任意：黄色　の箇所を入力ください（他の項目はその４～５シート入力後に自動で表示されます）</t>
    <rPh sb="0" eb="2">
      <t>ヒッス</t>
    </rPh>
    <rPh sb="3" eb="5">
      <t>ミズイロ</t>
    </rPh>
    <rPh sb="6" eb="8">
      <t>ニンイ</t>
    </rPh>
    <rPh sb="9" eb="11">
      <t>キイロ</t>
    </rPh>
    <rPh sb="13" eb="15">
      <t>カショ</t>
    </rPh>
    <rPh sb="16" eb="18">
      <t>ニュウリョク</t>
    </rPh>
    <rPh sb="23" eb="24">
      <t>タ</t>
    </rPh>
    <rPh sb="25" eb="27">
      <t>コウモク</t>
    </rPh>
    <rPh sb="36" eb="39">
      <t>ニュウリョクゴ</t>
    </rPh>
    <rPh sb="40" eb="42">
      <t>ジドウ</t>
    </rPh>
    <rPh sb="43" eb="45">
      <t>ヒョウジ</t>
    </rPh>
    <phoneticPr fontId="35"/>
  </si>
  <si>
    <t>２．その３環境配慮措置の入力　※任意</t>
    <rPh sb="5" eb="7">
      <t>カンキョウ</t>
    </rPh>
    <rPh sb="7" eb="9">
      <t>ハイリョ</t>
    </rPh>
    <rPh sb="9" eb="11">
      <t>ソチ</t>
    </rPh>
    <rPh sb="12" eb="14">
      <t>ニュウリョク</t>
    </rPh>
    <rPh sb="16" eb="18">
      <t>ニンイ</t>
    </rPh>
    <phoneticPr fontId="35"/>
  </si>
  <si>
    <t>その３環境配慮措置シートで、環境配慮措置に関する情報を入力します。</t>
    <rPh sb="3" eb="5">
      <t>カンキョウ</t>
    </rPh>
    <rPh sb="5" eb="7">
      <t>ハイリョ</t>
    </rPh>
    <rPh sb="7" eb="9">
      <t>ソチ</t>
    </rPh>
    <rPh sb="14" eb="20">
      <t>カンキョウハイリョソチ</t>
    </rPh>
    <rPh sb="21" eb="22">
      <t>カン</t>
    </rPh>
    <rPh sb="24" eb="26">
      <t>ジョウホウ</t>
    </rPh>
    <rPh sb="27" eb="29">
      <t>ニュウリョク</t>
    </rPh>
    <phoneticPr fontId="35"/>
  </si>
  <si>
    <t>その３環境配慮措置シートへ</t>
    <rPh sb="3" eb="5">
      <t>カンキョウ</t>
    </rPh>
    <rPh sb="5" eb="7">
      <t>ハイリョ</t>
    </rPh>
    <rPh sb="7" eb="9">
      <t>ソチ</t>
    </rPh>
    <phoneticPr fontId="35"/>
  </si>
  <si>
    <t>必須：水色　任意：黄色　の箇所を入力ください</t>
    <rPh sb="0" eb="2">
      <t>ヒッス</t>
    </rPh>
    <rPh sb="3" eb="5">
      <t>ミズイロ</t>
    </rPh>
    <rPh sb="6" eb="8">
      <t>ニンイ</t>
    </rPh>
    <rPh sb="9" eb="11">
      <t>キイロ</t>
    </rPh>
    <rPh sb="13" eb="15">
      <t>カショ</t>
    </rPh>
    <rPh sb="16" eb="18">
      <t>ニュウリョク</t>
    </rPh>
    <phoneticPr fontId="35"/>
  </si>
  <si>
    <r>
      <t>３．その４建物別情報の入力　</t>
    </r>
    <r>
      <rPr>
        <b/>
        <sz val="14"/>
        <color rgb="FFC00000"/>
        <rFont val="Meiryo UI"/>
        <family val="3"/>
        <charset val="128"/>
      </rPr>
      <t>※必須</t>
    </r>
    <rPh sb="5" eb="10">
      <t>タテモノベツジョウホウ</t>
    </rPh>
    <rPh sb="11" eb="13">
      <t>ニュウリョク</t>
    </rPh>
    <rPh sb="15" eb="17">
      <t>ヒッス</t>
    </rPh>
    <phoneticPr fontId="35"/>
  </si>
  <si>
    <t>（１）その４建物別情報（住宅）_入力シートに直接入力します。</t>
    <phoneticPr fontId="35"/>
  </si>
  <si>
    <t>その４建物別情報（住宅）_入力シートへ</t>
    <phoneticPr fontId="35"/>
  </si>
  <si>
    <t>（２）その４建物別情報（非住宅）_入力シートに直接入力します。</t>
    <phoneticPr fontId="1"/>
  </si>
  <si>
    <t>その４建物別情報（非住宅）_入力シートへ</t>
    <rPh sb="9" eb="10">
      <t>ヒ</t>
    </rPh>
    <phoneticPr fontId="35"/>
  </si>
  <si>
    <r>
      <t>４．その５既存建築物情報を入力　</t>
    </r>
    <r>
      <rPr>
        <b/>
        <sz val="14"/>
        <color rgb="FFC00000"/>
        <rFont val="Meiryo UI"/>
        <family val="3"/>
        <charset val="128"/>
      </rPr>
      <t>※該当時必須</t>
    </r>
    <rPh sb="5" eb="7">
      <t>キゾン</t>
    </rPh>
    <rPh sb="7" eb="10">
      <t>ケンチクブツ</t>
    </rPh>
    <rPh sb="10" eb="12">
      <t>ジョウホウ</t>
    </rPh>
    <rPh sb="13" eb="15">
      <t>ニュウリョク</t>
    </rPh>
    <rPh sb="17" eb="19">
      <t>ガイトウ</t>
    </rPh>
    <rPh sb="19" eb="20">
      <t>ジ</t>
    </rPh>
    <rPh sb="20" eb="22">
      <t>ヒッス</t>
    </rPh>
    <phoneticPr fontId="35"/>
  </si>
  <si>
    <t>その５既存建築物_入力シートで、既存建築物の情報を建物別に入力します。</t>
    <rPh sb="3" eb="5">
      <t>キゾン</t>
    </rPh>
    <rPh sb="5" eb="8">
      <t>ケンチクブツ</t>
    </rPh>
    <rPh sb="9" eb="11">
      <t>ニュウリョク</t>
    </rPh>
    <rPh sb="16" eb="18">
      <t>キゾン</t>
    </rPh>
    <rPh sb="18" eb="21">
      <t>ケンチクブツ</t>
    </rPh>
    <rPh sb="25" eb="28">
      <t>タテモノベツ</t>
    </rPh>
    <phoneticPr fontId="35"/>
  </si>
  <si>
    <t>その５既存建築物_入力シートへ</t>
    <rPh sb="3" eb="5">
      <t>キゾン</t>
    </rPh>
    <rPh sb="5" eb="8">
      <t>ケンチクブツ</t>
    </rPh>
    <rPh sb="9" eb="11">
      <t>ニュウリョク</t>
    </rPh>
    <phoneticPr fontId="35"/>
  </si>
  <si>
    <t>＜基準適合状況等の確認＞</t>
    <rPh sb="1" eb="5">
      <t>キジュンテキゴウ</t>
    </rPh>
    <rPh sb="5" eb="7">
      <t>ジョウキョウ</t>
    </rPh>
    <rPh sb="7" eb="8">
      <t>トウ</t>
    </rPh>
    <rPh sb="9" eb="11">
      <t>カクニン</t>
    </rPh>
    <phoneticPr fontId="35"/>
  </si>
  <si>
    <r>
      <t>５．その２基準適合状況の確認　</t>
    </r>
    <r>
      <rPr>
        <b/>
        <sz val="14"/>
        <color rgb="FFC00000"/>
        <rFont val="Meiryo UI"/>
        <family val="3"/>
        <charset val="128"/>
      </rPr>
      <t>※必須</t>
    </r>
    <rPh sb="16" eb="18">
      <t>ヒッス</t>
    </rPh>
    <phoneticPr fontId="35"/>
  </si>
  <si>
    <t>その２基準適合状況の確認を行います。</t>
    <rPh sb="3" eb="5">
      <t>キジュン</t>
    </rPh>
    <rPh sb="5" eb="7">
      <t>テキゴウ</t>
    </rPh>
    <rPh sb="7" eb="9">
      <t>ジョウキョウ</t>
    </rPh>
    <rPh sb="10" eb="12">
      <t>カクニン</t>
    </rPh>
    <rPh sb="13" eb="14">
      <t>オコナ</t>
    </rPh>
    <phoneticPr fontId="35"/>
  </si>
  <si>
    <t>その２基準適合状況へ</t>
    <phoneticPr fontId="35"/>
  </si>
  <si>
    <r>
      <t>６．その６再エネ基準量の確認　</t>
    </r>
    <r>
      <rPr>
        <b/>
        <sz val="14"/>
        <color rgb="FFC00000"/>
        <rFont val="Meiryo UI"/>
        <family val="3"/>
        <charset val="128"/>
      </rPr>
      <t>※必須</t>
    </r>
    <rPh sb="12" eb="14">
      <t>カクニン</t>
    </rPh>
    <rPh sb="16" eb="18">
      <t>ヒッス</t>
    </rPh>
    <phoneticPr fontId="35"/>
  </si>
  <si>
    <t>その６再エネ基準量の確認を行います。</t>
    <rPh sb="3" eb="4">
      <t>サイ</t>
    </rPh>
    <rPh sb="6" eb="8">
      <t>キジュン</t>
    </rPh>
    <rPh sb="8" eb="9">
      <t>リョウ</t>
    </rPh>
    <rPh sb="10" eb="12">
      <t>カクニン</t>
    </rPh>
    <rPh sb="13" eb="14">
      <t>オコナ</t>
    </rPh>
    <phoneticPr fontId="35"/>
  </si>
  <si>
    <t>その６再エネ基準量へ</t>
    <phoneticPr fontId="35"/>
  </si>
  <si>
    <r>
      <t>７．その１事業者基本情報の確認　</t>
    </r>
    <r>
      <rPr>
        <b/>
        <sz val="14"/>
        <color rgb="FFC00000"/>
        <rFont val="Meiryo UI"/>
        <family val="3"/>
        <charset val="128"/>
      </rPr>
      <t>※必須</t>
    </r>
    <rPh sb="13" eb="15">
      <t>カクニン</t>
    </rPh>
    <rPh sb="17" eb="19">
      <t>ヒッス</t>
    </rPh>
    <phoneticPr fontId="35"/>
  </si>
  <si>
    <t>その１事業者基本情報の基準適合状況の確認を行います。</t>
    <rPh sb="7" eb="8">
      <t>サイ</t>
    </rPh>
    <rPh sb="11" eb="17">
      <t>キジュンテキゴウジョウキョウ</t>
    </rPh>
    <rPh sb="18" eb="19">
      <t>オコナ</t>
    </rPh>
    <phoneticPr fontId="35"/>
  </si>
  <si>
    <t>その１事業者基本情報へ</t>
    <phoneticPr fontId="35"/>
  </si>
  <si>
    <t>背景色オプション</t>
    <rPh sb="0" eb="3">
      <t>ハイケイショク</t>
    </rPh>
    <phoneticPr fontId="35"/>
  </si>
  <si>
    <t>ON</t>
    <phoneticPr fontId="35"/>
  </si>
  <si>
    <t>以下、１～４のとおり各シートに情報の入力を行い、５～７で基準適合状況等を確認します。</t>
    <rPh sb="0" eb="2">
      <t>イカ</t>
    </rPh>
    <rPh sb="10" eb="11">
      <t>カク</t>
    </rPh>
    <rPh sb="15" eb="17">
      <t>ジョウホウ</t>
    </rPh>
    <rPh sb="18" eb="20">
      <t>ニュウリョク</t>
    </rPh>
    <rPh sb="21" eb="22">
      <t>オコナ</t>
    </rPh>
    <rPh sb="28" eb="35">
      <t>キジュンテキゴウジョウキョウトウ</t>
    </rPh>
    <rPh sb="36" eb="38">
      <t>カクニン</t>
    </rPh>
    <phoneticPr fontId="35"/>
  </si>
  <si>
    <t>1.0.1</t>
    <phoneticPr fontId="1"/>
  </si>
  <si>
    <t>その４建物別情報（住宅）_入力シート（非公開）</t>
    <phoneticPr fontId="1"/>
  </si>
  <si>
    <t>不具合修正</t>
    <rPh sb="0" eb="3">
      <t>フグアイ</t>
    </rPh>
    <rPh sb="3" eb="5">
      <t>シュウセイ</t>
    </rPh>
    <phoneticPr fontId="1"/>
  </si>
  <si>
    <t>更新内容（詳細）</t>
    <rPh sb="0" eb="2">
      <t>コウシン</t>
    </rPh>
    <rPh sb="2" eb="4">
      <t>ナイヨウ</t>
    </rPh>
    <rPh sb="5" eb="7">
      <t>ショウサイ</t>
    </rPh>
    <phoneticPr fontId="1"/>
  </si>
  <si>
    <r>
      <t xml:space="preserve">本修正により、『その２基準適合状況』に表示されるUA値（セルE10,E11）も、共同住宅のみなしUA値※を含めた値が反映されます。
</t>
    </r>
    <r>
      <rPr>
        <sz val="8"/>
        <color theme="1"/>
        <rFont val="游ゴシック"/>
        <family val="3"/>
        <charset val="128"/>
        <scheme val="minor"/>
      </rPr>
      <t>※共同住宅のみなしUA値…「平成28年省エネルギー基準に準拠したエネルギー消費性能の評価に関する技術情報（住宅）」第二節 外皮性能 表3に規定の、仕様基準又は誘導仕様基準により外皮性能を評価する場合のUA値。
https://www.kenken.go.jp/becc///////////documents/house/3-2_241202_v12.pdf</t>
    </r>
    <rPh sb="0" eb="1">
      <t>ホン</t>
    </rPh>
    <rPh sb="1" eb="3">
      <t>シュウセイ</t>
    </rPh>
    <rPh sb="11" eb="13">
      <t>キジュン</t>
    </rPh>
    <rPh sb="13" eb="15">
      <t>テキゴウ</t>
    </rPh>
    <rPh sb="15" eb="17">
      <t>ジョウキョウ</t>
    </rPh>
    <rPh sb="19" eb="21">
      <t>ヒョウジ</t>
    </rPh>
    <rPh sb="26" eb="27">
      <t>チ</t>
    </rPh>
    <rPh sb="40" eb="44">
      <t>キョウドウジュウタク</t>
    </rPh>
    <rPh sb="50" eb="51">
      <t>チ</t>
    </rPh>
    <rPh sb="53" eb="54">
      <t>フク</t>
    </rPh>
    <rPh sb="56" eb="57">
      <t>アタイ</t>
    </rPh>
    <rPh sb="58" eb="60">
      <t>ハンエイ</t>
    </rPh>
    <rPh sb="67" eb="69">
      <t>キョウドウ</t>
    </rPh>
    <rPh sb="69" eb="71">
      <t>ジュウタク</t>
    </rPh>
    <rPh sb="77" eb="78">
      <t>チ</t>
    </rPh>
    <rPh sb="123" eb="124">
      <t>ダイ</t>
    </rPh>
    <rPh sb="124" eb="126">
      <t>ニセツ</t>
    </rPh>
    <rPh sb="127" eb="129">
      <t>ガイヒ</t>
    </rPh>
    <rPh sb="129" eb="131">
      <t>セイノウ</t>
    </rPh>
    <rPh sb="132" eb="133">
      <t>ヒョウ</t>
    </rPh>
    <rPh sb="135" eb="137">
      <t>キテイ</t>
    </rPh>
    <rPh sb="163" eb="165">
      <t>バアイ</t>
    </rPh>
    <rPh sb="168" eb="169">
      <t>チ</t>
    </rPh>
    <phoneticPr fontId="1"/>
  </si>
  <si>
    <t>誤記修正</t>
    <rPh sb="0" eb="2">
      <t>ゴキ</t>
    </rPh>
    <rPh sb="2" eb="4">
      <t>シュウセイ</t>
    </rPh>
    <phoneticPr fontId="1"/>
  </si>
  <si>
    <t>整備基準に対する適合状況</t>
    <rPh sb="0" eb="2">
      <t>セイビ</t>
    </rPh>
    <rPh sb="2" eb="4">
      <t>キジュン</t>
    </rPh>
    <phoneticPr fontId="1"/>
  </si>
  <si>
    <t>建築物等からの熱の影響の低減</t>
    <phoneticPr fontId="1"/>
  </si>
  <si>
    <t>ＥＶ及びＰＨＶ用充電設備の設置</t>
    <rPh sb="13" eb="15">
      <t>セッチ</t>
    </rPh>
    <phoneticPr fontId="1"/>
  </si>
  <si>
    <t>屋根面積</t>
  </si>
  <si>
    <t>その４建物別情報（非住宅）_入力シート（非公開）</t>
    <phoneticPr fontId="1"/>
  </si>
  <si>
    <t>その３環境配慮措置
その４建物別情報（住宅）_入力シート（非公開）
その４建物別情報（非住宅）_入力シート（非公開）</t>
    <rPh sb="43" eb="44">
      <t>ヒ</t>
    </rPh>
    <phoneticPr fontId="1"/>
  </si>
  <si>
    <t>1.0.2</t>
    <phoneticPr fontId="1"/>
  </si>
  <si>
    <t>その２基準適合状況</t>
    <rPh sb="3" eb="5">
      <t>キジュン</t>
    </rPh>
    <rPh sb="5" eb="7">
      <t>テキゴウ</t>
    </rPh>
    <rPh sb="7" eb="9">
      <t>ジョウキョウ</t>
    </rPh>
    <phoneticPr fontId="1"/>
  </si>
  <si>
    <t>不具合修正</t>
    <rPh sb="0" eb="5">
      <t>フグアイシュウセイ</t>
    </rPh>
    <phoneticPr fontId="1"/>
  </si>
  <si>
    <t>『その１事業者基本情報_入力シート（一部非公開）』で共同住宅系のトップランナー区分を選択しているにも関わらず、共同住宅区分の（イ）設備システムのエネルギー利用の低減に関する事項が表示されない不具合を修正しました。</t>
    <rPh sb="4" eb="7">
      <t>ジギョウシャ</t>
    </rPh>
    <rPh sb="7" eb="9">
      <t>キホン</t>
    </rPh>
    <rPh sb="9" eb="11">
      <t>ジョウホウ</t>
    </rPh>
    <rPh sb="12" eb="14">
      <t>ニュウリョク</t>
    </rPh>
    <rPh sb="18" eb="20">
      <t>イチブ</t>
    </rPh>
    <rPh sb="20" eb="23">
      <t>ヒコウカイ</t>
    </rPh>
    <rPh sb="26" eb="28">
      <t>キョウドウ</t>
    </rPh>
    <rPh sb="28" eb="30">
      <t>ジュウタク</t>
    </rPh>
    <rPh sb="30" eb="31">
      <t>ケイ</t>
    </rPh>
    <rPh sb="39" eb="41">
      <t>クブン</t>
    </rPh>
    <rPh sb="42" eb="44">
      <t>センタク</t>
    </rPh>
    <rPh sb="50" eb="51">
      <t>カカ</t>
    </rPh>
    <rPh sb="55" eb="57">
      <t>キョウドウ</t>
    </rPh>
    <rPh sb="57" eb="59">
      <t>ジュウタク</t>
    </rPh>
    <rPh sb="59" eb="61">
      <t>クブン</t>
    </rPh>
    <rPh sb="89" eb="91">
      <t>ヒョウジ</t>
    </rPh>
    <rPh sb="95" eb="98">
      <t>フグアイ</t>
    </rPh>
    <rPh sb="99" eb="101">
      <t>シュウセイ</t>
    </rPh>
    <phoneticPr fontId="1"/>
  </si>
  <si>
    <t>BM列「計算用UA値」及びBN列「計算用UA値（誘導基準）」について、F列「住宅の区分」が共同住宅系である時に、共同住宅のみなしUA値※を表示するよう、修正しました。</t>
    <rPh sb="2" eb="3">
      <t>レツ</t>
    </rPh>
    <rPh sb="4" eb="7">
      <t>ケイサンヨウ</t>
    </rPh>
    <rPh sb="9" eb="10">
      <t>チ</t>
    </rPh>
    <rPh sb="11" eb="12">
      <t>オヨ</t>
    </rPh>
    <rPh sb="15" eb="16">
      <t>レツ</t>
    </rPh>
    <rPh sb="36" eb="37">
      <t>レツ</t>
    </rPh>
    <rPh sb="38" eb="40">
      <t>ジュウタク</t>
    </rPh>
    <rPh sb="41" eb="43">
      <t>クブン</t>
    </rPh>
    <rPh sb="45" eb="47">
      <t>キョウドウ</t>
    </rPh>
    <rPh sb="47" eb="49">
      <t>ジュウタク</t>
    </rPh>
    <rPh sb="49" eb="50">
      <t>ケイ</t>
    </rPh>
    <rPh sb="53" eb="54">
      <t>トキ</t>
    </rPh>
    <rPh sb="56" eb="58">
      <t>キョウドウ</t>
    </rPh>
    <rPh sb="58" eb="60">
      <t>ジュウタク</t>
    </rPh>
    <rPh sb="66" eb="67">
      <t>チ</t>
    </rPh>
    <rPh sb="69" eb="71">
      <t>ヒョウジ</t>
    </rPh>
    <rPh sb="76" eb="78">
      <t>シュウセイ</t>
    </rPh>
    <phoneticPr fontId="1"/>
  </si>
  <si>
    <t>太陽光発電設備の算定除外に関する項目（Y列からAC列）について、グレーアウトが正常に動作していなかった問題を修正しました。</t>
    <rPh sb="0" eb="7">
      <t>タイヨウコウハツデンセツビ</t>
    </rPh>
    <rPh sb="8" eb="10">
      <t>サンテイ</t>
    </rPh>
    <rPh sb="10" eb="12">
      <t>ジョガイ</t>
    </rPh>
    <rPh sb="13" eb="14">
      <t>カン</t>
    </rPh>
    <rPh sb="16" eb="18">
      <t>コウモク</t>
    </rPh>
    <rPh sb="20" eb="21">
      <t>レツ</t>
    </rPh>
    <rPh sb="25" eb="26">
      <t>レツ</t>
    </rPh>
    <rPh sb="39" eb="41">
      <t>セイジョウ</t>
    </rPh>
    <rPh sb="42" eb="44">
      <t>ドウサ</t>
    </rPh>
    <rPh sb="51" eb="53">
      <t>モンダイ</t>
    </rPh>
    <rPh sb="54" eb="56">
      <t>シュウセイ</t>
    </rPh>
    <phoneticPr fontId="1"/>
  </si>
  <si>
    <t>様式の誤記を修正しました。
『その３環境配慮措置』：セルE21,E22
『その４建物別情報（住宅）_入力シート（非公開）』：セルAR10
『その４建物別情報（非住宅）_入力シート（非公開）』：セルAO10</t>
    <rPh sb="0" eb="2">
      <t>ヨウシキ</t>
    </rPh>
    <rPh sb="3" eb="5">
      <t>ゴキ</t>
    </rPh>
    <rPh sb="6" eb="8">
      <t>シュウセイ</t>
    </rPh>
    <rPh sb="79" eb="80">
      <t>ヒ</t>
    </rPh>
    <phoneticPr fontId="1"/>
  </si>
  <si>
    <t>セルH10及びセルJ10の関数を修正しました。</t>
    <rPh sb="5" eb="6">
      <t>オヨ</t>
    </rPh>
    <rPh sb="13" eb="15">
      <t>カンスウ</t>
    </rPh>
    <rPh sb="16" eb="18">
      <t>シュウセイ</t>
    </rPh>
    <phoneticPr fontId="1"/>
  </si>
  <si>
    <t>X列「算定除外の該当の有無」が「該当有」の時に、Z列・AB列「南面等屋根の種類」の選択肢が適切に表示されていなかった問題を修正しました。</t>
    <rPh sb="1" eb="2">
      <t>レツ</t>
    </rPh>
    <rPh sb="3" eb="5">
      <t>サンテイ</t>
    </rPh>
    <rPh sb="5" eb="7">
      <t>ジョガイ</t>
    </rPh>
    <rPh sb="8" eb="10">
      <t>ガイトウ</t>
    </rPh>
    <rPh sb="11" eb="13">
      <t>ウム</t>
    </rPh>
    <rPh sb="16" eb="18">
      <t>ガイトウ</t>
    </rPh>
    <rPh sb="18" eb="19">
      <t>アリ</t>
    </rPh>
    <rPh sb="21" eb="22">
      <t>トキ</t>
    </rPh>
    <rPh sb="31" eb="33">
      <t>ナンメン</t>
    </rPh>
    <rPh sb="33" eb="34">
      <t>トウ</t>
    </rPh>
    <rPh sb="34" eb="36">
      <t>ヤネ</t>
    </rPh>
    <rPh sb="37" eb="39">
      <t>シュルイ</t>
    </rPh>
    <rPh sb="41" eb="44">
      <t>センタクシ</t>
    </rPh>
    <rPh sb="45" eb="47">
      <t>テキセツ</t>
    </rPh>
    <rPh sb="48" eb="50">
      <t>ヒョウジ</t>
    </rPh>
    <rPh sb="58" eb="60">
      <t>モンダイ</t>
    </rPh>
    <rPh sb="61" eb="63">
      <t>シュウセイ</t>
    </rPh>
    <phoneticPr fontId="1"/>
  </si>
  <si>
    <t>AH列「駐車施設の区画数」について、グレーアウトが正常に動作していなかった問題を修正しました。</t>
    <rPh sb="2" eb="3">
      <t>レツ</t>
    </rPh>
    <rPh sb="25" eb="27">
      <t>セイジョウ</t>
    </rPh>
    <rPh sb="28" eb="30">
      <t>ドウサ</t>
    </rPh>
    <rPh sb="37" eb="39">
      <t>モンダイ</t>
    </rPh>
    <rPh sb="40" eb="42">
      <t>シュウセイ</t>
    </rPh>
    <phoneticPr fontId="1"/>
  </si>
  <si>
    <t>有（10区画未満）</t>
    <rPh sb="0" eb="1">
      <t>アリ</t>
    </rPh>
    <rPh sb="4" eb="6">
      <t>クカク</t>
    </rPh>
    <rPh sb="6" eb="8">
      <t>ミマン</t>
    </rPh>
    <phoneticPr fontId="1"/>
  </si>
  <si>
    <t>マスタ</t>
    <phoneticPr fontId="1"/>
  </si>
  <si>
    <t>仕様変更</t>
    <rPh sb="0" eb="2">
      <t>シヨウ</t>
    </rPh>
    <rPh sb="2" eb="4">
      <t>ヘンコウ</t>
    </rPh>
    <phoneticPr fontId="1"/>
  </si>
  <si>
    <t>「建築物環境報告書作成支援システム」と仕様を揃えるための変更です。</t>
    <rPh sb="1" eb="4">
      <t>ケンチクブツ</t>
    </rPh>
    <rPh sb="4" eb="6">
      <t>カンキョウ</t>
    </rPh>
    <rPh sb="6" eb="9">
      <t>ホウコクショ</t>
    </rPh>
    <rPh sb="9" eb="11">
      <t>サクセイ</t>
    </rPh>
    <rPh sb="11" eb="13">
      <t>シエン</t>
    </rPh>
    <rPh sb="19" eb="21">
      <t>シヨウ</t>
    </rPh>
    <rPh sb="22" eb="23">
      <t>ソロ</t>
    </rPh>
    <rPh sb="28" eb="30">
      <t>ヘンコウ</t>
    </rPh>
    <phoneticPr fontId="1"/>
  </si>
  <si>
    <t>「建築物環境報告書作成支援システム」での読込エラーを減らすための変更です。
なお、本選択肢は、本制度施行前の令和７年３月までに購入等の契約を行う建築物で、説明を実施しない場合に選択します（本制度では、このような場合は説明義務の対象外としています）。</t>
    <rPh sb="1" eb="4">
      <t>ケンチクブツ</t>
    </rPh>
    <rPh sb="4" eb="6">
      <t>カンキョウ</t>
    </rPh>
    <rPh sb="6" eb="9">
      <t>ホウコクショ</t>
    </rPh>
    <rPh sb="9" eb="11">
      <t>サクセイ</t>
    </rPh>
    <rPh sb="11" eb="13">
      <t>シエン</t>
    </rPh>
    <rPh sb="20" eb="22">
      <t>ヨミコミ</t>
    </rPh>
    <rPh sb="26" eb="27">
      <t>ヘ</t>
    </rPh>
    <rPh sb="32" eb="34">
      <t>ヘンコウ</t>
    </rPh>
    <rPh sb="41" eb="42">
      <t>ホン</t>
    </rPh>
    <rPh sb="42" eb="45">
      <t>センタクシ</t>
    </rPh>
    <rPh sb="88" eb="90">
      <t>センタク</t>
    </rPh>
    <rPh sb="94" eb="95">
      <t>ホン</t>
    </rPh>
    <rPh sb="95" eb="97">
      <t>セイド</t>
    </rPh>
    <phoneticPr fontId="1"/>
  </si>
  <si>
    <t>ID007「説明実施区分」の選択肢「－」について、「対象外」に修正しました。</t>
    <rPh sb="6" eb="8">
      <t>セツメイ</t>
    </rPh>
    <rPh sb="8" eb="10">
      <t>ジッシ</t>
    </rPh>
    <rPh sb="10" eb="12">
      <t>クブン</t>
    </rPh>
    <rPh sb="14" eb="17">
      <t>センタクシ</t>
    </rPh>
    <rPh sb="26" eb="29">
      <t>タイショウガイ</t>
    </rPh>
    <rPh sb="31" eb="33">
      <t>シュウセイ</t>
    </rPh>
    <phoneticPr fontId="1"/>
  </si>
  <si>
    <t>ID012「駐車施設の区画の有無」の選択肢「有(10区画未満)」について、カッコを半角から全角に修正しました。</t>
    <rPh sb="6" eb="10">
      <t>チュウシャシセツ</t>
    </rPh>
    <rPh sb="11" eb="13">
      <t>クカク</t>
    </rPh>
    <rPh sb="14" eb="16">
      <t>ウム</t>
    </rPh>
    <rPh sb="18" eb="21">
      <t>センタクシ</t>
    </rPh>
    <rPh sb="41" eb="43">
      <t>ハンカク</t>
    </rPh>
    <rPh sb="45" eb="47">
      <t>ゼンカク</t>
    </rPh>
    <rPh sb="48" eb="50">
      <t>シュウセイ</t>
    </rPh>
    <phoneticPr fontId="1"/>
  </si>
  <si>
    <t>建築物環境報告書 関数入り様式</t>
    <rPh sb="9" eb="11">
      <t>カンスウ</t>
    </rPh>
    <rPh sb="11" eb="12">
      <t>イ</t>
    </rPh>
    <rPh sb="13" eb="15">
      <t>ヨウシキ</t>
    </rPh>
    <phoneticPr fontId="35"/>
  </si>
  <si>
    <t>ver.</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</si>
</sst>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F800]dddd\,\ mmmm\ dd\,\ yyyy"/>
    <numFmt numFmtId="177" formatCode="#,##0.00&quot;㎡&quot;"/>
    <numFmt numFmtId="178" formatCode="#,##0&quot;棟&quot;"/>
    <numFmt numFmtId="179" formatCode="#,##0\k\W"/>
    <numFmt numFmtId="180" formatCode="#,##0.00\k\W"/>
    <numFmt numFmtId="181" formatCode="0.00&quot;W/(㎡・K)&quot;"/>
    <numFmt numFmtId="182" formatCode="#,##0&quot;区画&quot;"/>
    <numFmt numFmtId="183" formatCode="#,##0.0&quot;GJ&quot;"/>
  </numFmts>
  <fonts count="50">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rgb="FFFF0000"/>
      <name val="ＭＳ 明朝"/>
      <family val="1"/>
      <charset val="128"/>
    </font>
    <font>
      <sz val="20"/>
      <color theme="1"/>
      <name val="ＭＳ 明朝"/>
      <family val="1"/>
      <charset val="128"/>
    </font>
    <font>
      <vertAlign val="subscript"/>
      <sz val="11"/>
      <color theme="1"/>
      <name val="ＭＳ 明朝"/>
      <family val="1"/>
      <charset val="128"/>
    </font>
    <font>
      <sz val="11"/>
      <name val="ＭＳ 明朝"/>
      <family val="1"/>
      <charset val="128"/>
    </font>
    <font>
      <sz val="16"/>
      <color theme="1"/>
      <name val="ＭＳ 明朝"/>
      <family val="1"/>
      <charset val="128"/>
    </font>
    <font>
      <sz val="14"/>
      <color theme="1"/>
      <name val="ＭＳ 明朝"/>
      <family val="1"/>
      <charset val="128"/>
    </font>
    <font>
      <sz val="16"/>
      <name val="ＭＳ 明朝"/>
      <family val="1"/>
      <charset val="128"/>
    </font>
    <font>
      <u/>
      <sz val="11"/>
      <color theme="10"/>
      <name val="游ゴシック"/>
      <family val="2"/>
      <charset val="128"/>
      <scheme val="minor"/>
    </font>
    <font>
      <sz val="11"/>
      <color theme="1"/>
      <name val="Meiryo UI"/>
      <family val="3"/>
      <charset val="128"/>
    </font>
    <font>
      <b/>
      <sz val="11"/>
      <color theme="1"/>
      <name val="Meiryo UI"/>
      <family val="3"/>
      <charset val="128"/>
    </font>
    <font>
      <b/>
      <sz val="10.5"/>
      <color theme="1"/>
      <name val="Meiryo UI"/>
      <family val="3"/>
      <charset val="128"/>
    </font>
    <font>
      <b/>
      <sz val="10.5"/>
      <color rgb="FFC00000"/>
      <name val="Meiryo UI"/>
      <family val="3"/>
      <charset val="128"/>
    </font>
    <font>
      <b/>
      <sz val="10.5"/>
      <color theme="1"/>
      <name val="ＭＳ 明朝"/>
      <family val="1"/>
      <charset val="128"/>
    </font>
    <font>
      <sz val="10.5"/>
      <color theme="1"/>
      <name val="ＭＳ 明朝"/>
      <family val="1"/>
      <charset val="128"/>
    </font>
    <font>
      <sz val="14"/>
      <name val="ＭＳ 明朝"/>
      <family val="1"/>
      <charset val="128"/>
    </font>
    <font>
      <b/>
      <sz val="11"/>
      <color rgb="FFD3CFC9"/>
      <name val="メイリオ"/>
      <family val="3"/>
      <charset val="128"/>
    </font>
    <font>
      <sz val="11"/>
      <color theme="1"/>
      <name val="游ゴシック"/>
      <family val="2"/>
      <charset val="128"/>
      <scheme val="minor"/>
    </font>
    <font>
      <b/>
      <sz val="11"/>
      <color rgb="FFC00000"/>
      <name val="Meiryo UI"/>
      <family val="3"/>
      <charset val="128"/>
    </font>
    <font>
      <b/>
      <sz val="9"/>
      <color indexed="81"/>
      <name val="Meiryo UI"/>
      <family val="3"/>
      <charset val="128"/>
    </font>
    <font>
      <b/>
      <sz val="12"/>
      <color theme="1"/>
      <name val="Meiryo UI"/>
      <family val="3"/>
      <charset val="128"/>
    </font>
    <font>
      <b/>
      <sz val="12"/>
      <color indexed="81"/>
      <name val="Meiryo UI"/>
      <family val="3"/>
      <charset val="128"/>
    </font>
    <font>
      <sz val="12"/>
      <color indexed="81"/>
      <name val="Meiryo UI"/>
      <family val="3"/>
      <charset val="128"/>
    </font>
    <font>
      <sz val="9"/>
      <color indexed="81"/>
      <name val="MS P ゴシック"/>
      <family val="3"/>
      <charset val="128"/>
    </font>
    <font>
      <sz val="11"/>
      <color theme="0"/>
      <name val="ＭＳ 明朝"/>
      <family val="1"/>
      <charset val="128"/>
    </font>
    <font>
      <sz val="11"/>
      <color rgb="FFC00000"/>
      <name val="ＭＳ 明朝"/>
      <family val="1"/>
      <charset val="128"/>
    </font>
    <font>
      <b/>
      <u/>
      <sz val="12"/>
      <color theme="10"/>
      <name val="Meiryo UI"/>
      <family val="3"/>
      <charset val="128"/>
    </font>
    <font>
      <b/>
      <sz val="9"/>
      <color indexed="81"/>
      <name val="MS P ゴシック"/>
      <family val="3"/>
      <charset val="128"/>
    </font>
    <font>
      <sz val="9"/>
      <color indexed="81"/>
      <name val="Meiryo UI"/>
      <family val="3"/>
      <charset val="128"/>
    </font>
    <font>
      <b/>
      <sz val="11"/>
      <name val="Meiryo UI"/>
      <family val="3"/>
      <charset val="128"/>
    </font>
    <font>
      <sz val="11"/>
      <name val="Meiryo UI"/>
      <family val="3"/>
      <charset val="128"/>
    </font>
    <font>
      <b/>
      <sz val="11"/>
      <color indexed="81"/>
      <name val="メイリオ"/>
      <family val="3"/>
      <charset val="128"/>
    </font>
    <font>
      <sz val="20"/>
      <color theme="1"/>
      <name val="Meiryo UI"/>
      <family val="3"/>
      <charset val="128"/>
    </font>
    <font>
      <sz val="6"/>
      <name val="游ゴシック"/>
      <family val="3"/>
      <charset val="128"/>
      <scheme val="minor"/>
    </font>
    <font>
      <sz val="12"/>
      <color theme="1"/>
      <name val="Meiryo UI"/>
      <family val="3"/>
      <charset val="128"/>
    </font>
    <font>
      <sz val="14"/>
      <color theme="1"/>
      <name val="Meiryo UI"/>
      <family val="3"/>
      <charset val="128"/>
    </font>
    <font>
      <sz val="18"/>
      <color theme="1"/>
      <name val="Meiryo UI"/>
      <family val="3"/>
      <charset val="128"/>
    </font>
    <font>
      <b/>
      <sz val="16"/>
      <color theme="1"/>
      <name val="Meiryo UI"/>
      <family val="3"/>
      <charset val="128"/>
    </font>
    <font>
      <b/>
      <sz val="14"/>
      <color theme="1"/>
      <name val="Meiryo UI"/>
      <family val="3"/>
      <charset val="128"/>
    </font>
    <font>
      <b/>
      <sz val="14"/>
      <color rgb="FFC00000"/>
      <name val="Meiryo UI"/>
      <family val="3"/>
      <charset val="128"/>
    </font>
    <font>
      <u/>
      <sz val="14"/>
      <color theme="10"/>
      <name val="Meiryo UI"/>
      <family val="3"/>
      <charset val="128"/>
    </font>
    <font>
      <sz val="11"/>
      <color rgb="FF0070C0"/>
      <name val="Meiryo UI"/>
      <family val="3"/>
      <charset val="128"/>
    </font>
    <font>
      <u/>
      <sz val="16"/>
      <color theme="10"/>
      <name val="Meiryo UI"/>
      <family val="3"/>
      <charset val="128"/>
    </font>
    <font>
      <sz val="11"/>
      <color theme="0"/>
      <name val="Meiryo UI"/>
      <family val="3"/>
      <charset val="128"/>
    </font>
    <font>
      <b/>
      <sz val="20"/>
      <color theme="1"/>
      <name val="Meiryo UI"/>
      <family val="3"/>
      <charset val="128"/>
    </font>
    <font>
      <b/>
      <sz val="11"/>
      <color theme="1"/>
      <name val="游ゴシック"/>
      <family val="3"/>
      <charset val="128"/>
      <scheme val="minor"/>
    </font>
    <font>
      <b/>
      <sz val="10"/>
      <color indexed="81"/>
      <name val="メイリオ"/>
      <family val="3"/>
      <charset val="128"/>
    </font>
    <font>
      <sz val="8"/>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8E5"/>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double">
        <color indexed="64"/>
      </left>
      <right style="hair">
        <color indexed="64"/>
      </right>
      <top/>
      <bottom style="thin">
        <color indexed="64"/>
      </bottom>
      <diagonal/>
    </border>
    <border>
      <left style="thin">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3">
    <xf numFmtId="0" fontId="0" fillId="0" borderId="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cellStyleXfs>
  <cellXfs count="349">
    <xf numFmtId="0" fontId="0" fillId="0" borderId="0" xfId="0">
      <alignment vertical="center"/>
    </xf>
    <xf numFmtId="0" fontId="2" fillId="2" borderId="0" xfId="0" applyFont="1" applyFill="1">
      <alignment vertical="center"/>
    </xf>
    <xf numFmtId="0" fontId="2" fillId="2" borderId="1" xfId="0" applyFont="1" applyFill="1" applyBorder="1" applyAlignment="1">
      <alignment vertical="center" wrapText="1"/>
    </xf>
    <xf numFmtId="0" fontId="2" fillId="2" borderId="1" xfId="0" applyFont="1" applyFill="1" applyBorder="1">
      <alignment vertical="center"/>
    </xf>
    <xf numFmtId="0" fontId="2" fillId="2" borderId="1" xfId="0" applyFont="1" applyFill="1" applyBorder="1" applyAlignment="1">
      <alignment horizontal="center" vertical="center"/>
    </xf>
    <xf numFmtId="0" fontId="2" fillId="2" borderId="0" xfId="0" applyFont="1" applyFill="1" applyAlignment="1">
      <alignment horizontal="right" vertical="center"/>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left" vertical="center" indent="1"/>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3" fillId="2" borderId="0" xfId="0" applyFont="1" applyFill="1">
      <alignment vertical="center"/>
    </xf>
    <xf numFmtId="0" fontId="2" fillId="2" borderId="0" xfId="0" applyFont="1" applyFill="1" applyAlignment="1">
      <alignment horizontal="left" vertical="center"/>
    </xf>
    <xf numFmtId="0" fontId="2" fillId="2" borderId="7" xfId="0" applyFont="1" applyFill="1" applyBorder="1" applyAlignment="1">
      <alignment horizontal="center" vertical="center" wrapText="1"/>
    </xf>
    <xf numFmtId="0" fontId="2" fillId="2" borderId="5" xfId="0" applyFont="1" applyFill="1" applyBorder="1">
      <alignment vertical="center"/>
    </xf>
    <xf numFmtId="0" fontId="2" fillId="2" borderId="2" xfId="0" applyFont="1" applyFill="1" applyBorder="1">
      <alignment vertical="center"/>
    </xf>
    <xf numFmtId="0" fontId="2" fillId="2" borderId="1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6" xfId="0" applyFont="1" applyFill="1" applyBorder="1">
      <alignment vertical="center"/>
    </xf>
    <xf numFmtId="0" fontId="2" fillId="2" borderId="12" xfId="0" applyFont="1" applyFill="1" applyBorder="1">
      <alignment vertical="center"/>
    </xf>
    <xf numFmtId="0" fontId="2" fillId="2" borderId="11" xfId="0" applyFont="1" applyFill="1" applyBorder="1">
      <alignment vertical="center"/>
    </xf>
    <xf numFmtId="0" fontId="2" fillId="2" borderId="7" xfId="0" applyFont="1" applyFill="1" applyBorder="1" applyAlignment="1">
      <alignment vertical="center" wrapText="1"/>
    </xf>
    <xf numFmtId="0" fontId="3" fillId="2" borderId="0" xfId="0" applyFont="1" applyFill="1" applyAlignment="1">
      <alignment horizontal="right" vertical="center"/>
    </xf>
    <xf numFmtId="0" fontId="2" fillId="2" borderId="11"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top" wrapText="1"/>
    </xf>
    <xf numFmtId="0" fontId="2" fillId="2" borderId="7" xfId="0" applyFont="1" applyFill="1" applyBorder="1" applyAlignment="1">
      <alignment horizontal="right" vertical="center"/>
    </xf>
    <xf numFmtId="0" fontId="6" fillId="2" borderId="1" xfId="0" applyFont="1" applyFill="1" applyBorder="1" applyAlignment="1">
      <alignment horizontal="center" vertical="center"/>
    </xf>
    <xf numFmtId="0" fontId="7" fillId="2" borderId="0" xfId="0" applyFont="1" applyFill="1">
      <alignment vertical="center"/>
    </xf>
    <xf numFmtId="0" fontId="7" fillId="2" borderId="0" xfId="0" applyFont="1" applyFill="1" applyAlignment="1">
      <alignment horizontal="left" vertical="center" indent="1"/>
    </xf>
    <xf numFmtId="0" fontId="7" fillId="2" borderId="12" xfId="0" applyFont="1" applyFill="1" applyBorder="1" applyAlignment="1">
      <alignment horizontal="left" vertical="top"/>
    </xf>
    <xf numFmtId="0" fontId="7"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6" fillId="2" borderId="0" xfId="0" applyFont="1" applyFill="1">
      <alignment vertical="center"/>
    </xf>
    <xf numFmtId="0" fontId="2" fillId="2" borderId="7" xfId="0" applyFont="1" applyFill="1" applyBorder="1" applyAlignment="1">
      <alignment horizontal="left" vertical="center"/>
    </xf>
    <xf numFmtId="20" fontId="9" fillId="2" borderId="0" xfId="0" applyNumberFormat="1" applyFont="1" applyFill="1">
      <alignment vertical="center"/>
    </xf>
    <xf numFmtId="0" fontId="9" fillId="2" borderId="0" xfId="0" applyFont="1" applyFill="1">
      <alignment vertical="center"/>
    </xf>
    <xf numFmtId="0" fontId="6" fillId="2" borderId="1" xfId="0" applyFont="1" applyFill="1" applyBorder="1" applyAlignment="1">
      <alignment vertical="center" wrapText="1"/>
    </xf>
    <xf numFmtId="0" fontId="8" fillId="2" borderId="1" xfId="0" applyFont="1" applyFill="1" applyBorder="1">
      <alignment vertical="center"/>
    </xf>
    <xf numFmtId="0" fontId="2" fillId="2" borderId="9" xfId="0" applyFont="1" applyFill="1" applyBorder="1" applyAlignment="1">
      <alignment vertical="center" wrapText="1"/>
    </xf>
    <xf numFmtId="0" fontId="6" fillId="2" borderId="0" xfId="0" applyFont="1" applyFill="1" applyAlignment="1">
      <alignment horizontal="left" vertical="center" wrapText="1"/>
    </xf>
    <xf numFmtId="0" fontId="2" fillId="2" borderId="0" xfId="0" quotePrefix="1" applyFont="1" applyFill="1">
      <alignment vertical="center"/>
    </xf>
    <xf numFmtId="0" fontId="0" fillId="0" borderId="1" xfId="0" applyBorder="1">
      <alignment vertical="center"/>
    </xf>
    <xf numFmtId="0" fontId="0" fillId="0" borderId="1" xfId="0" applyBorder="1" applyAlignment="1">
      <alignment vertical="center" wrapText="1"/>
    </xf>
    <xf numFmtId="0" fontId="11" fillId="0" borderId="0" xfId="0" applyFont="1">
      <alignment vertical="center"/>
    </xf>
    <xf numFmtId="0" fontId="11" fillId="0" borderId="0" xfId="0" applyFont="1" applyAlignment="1">
      <alignment vertical="center" wrapText="1"/>
    </xf>
    <xf numFmtId="0" fontId="13" fillId="0" borderId="0" xfId="0" applyFont="1">
      <alignment vertical="center"/>
    </xf>
    <xf numFmtId="0" fontId="13" fillId="2" borderId="0" xfId="0" applyFont="1" applyFill="1" applyAlignment="1">
      <alignment horizontal="center" vertical="center" shrinkToFit="1"/>
    </xf>
    <xf numFmtId="0" fontId="13" fillId="2" borderId="0" xfId="0" applyFont="1" applyFill="1" applyAlignment="1">
      <alignment vertical="center" shrinkToFit="1"/>
    </xf>
    <xf numFmtId="0" fontId="14" fillId="2" borderId="0" xfId="0" applyFont="1" applyFill="1">
      <alignment vertical="center"/>
    </xf>
    <xf numFmtId="0" fontId="16" fillId="2" borderId="0" xfId="0" applyFont="1" applyFill="1" applyAlignment="1">
      <alignment vertical="center" shrinkToFit="1"/>
    </xf>
    <xf numFmtId="0" fontId="15" fillId="2" borderId="0" xfId="0" applyFont="1" applyFill="1" applyAlignment="1">
      <alignment vertical="center" shrinkToFit="1"/>
    </xf>
    <xf numFmtId="0" fontId="13" fillId="2" borderId="0" xfId="0" applyFont="1" applyFill="1">
      <alignment vertical="center"/>
    </xf>
    <xf numFmtId="0" fontId="9" fillId="2" borderId="1" xfId="0" applyFont="1" applyFill="1" applyBorder="1" applyAlignment="1">
      <alignment horizontal="center" vertical="center" wrapText="1"/>
    </xf>
    <xf numFmtId="0" fontId="0" fillId="3" borderId="1" xfId="0" applyFill="1" applyBorder="1">
      <alignment vertical="center"/>
    </xf>
    <xf numFmtId="14" fontId="0" fillId="0" borderId="1" xfId="0" applyNumberFormat="1" applyBorder="1">
      <alignment vertical="center"/>
    </xf>
    <xf numFmtId="0" fontId="0" fillId="0" borderId="0" xfId="0" applyAlignment="1">
      <alignment vertical="center" wrapText="1"/>
    </xf>
    <xf numFmtId="0" fontId="0" fillId="3" borderId="1" xfId="0" applyFill="1" applyBorder="1" applyAlignment="1">
      <alignment vertical="center" wrapText="1"/>
    </xf>
    <xf numFmtId="49" fontId="11" fillId="0" borderId="0" xfId="0" applyNumberFormat="1" applyFont="1" applyAlignment="1">
      <alignment horizontal="right" vertical="center" wrapText="1"/>
    </xf>
    <xf numFmtId="49" fontId="11" fillId="0" borderId="0" xfId="0" applyNumberFormat="1" applyFont="1" applyAlignment="1">
      <alignment vertical="center" wrapText="1"/>
    </xf>
    <xf numFmtId="0" fontId="11" fillId="0" borderId="0" xfId="0" applyFont="1" applyAlignment="1">
      <alignment horizontal="right" vertical="center" wrapText="1"/>
    </xf>
    <xf numFmtId="0" fontId="11" fillId="0" borderId="17" xfId="0" applyFont="1" applyBorder="1" applyAlignment="1">
      <alignment vertical="center" wrapText="1"/>
    </xf>
    <xf numFmtId="0" fontId="11" fillId="0" borderId="18" xfId="0" applyFont="1" applyBorder="1" applyAlignment="1">
      <alignment vertical="center" wrapText="1"/>
    </xf>
    <xf numFmtId="0" fontId="8" fillId="3" borderId="1" xfId="0" applyFont="1" applyFill="1" applyBorder="1" applyProtection="1">
      <alignment vertical="center"/>
      <protection locked="0"/>
    </xf>
    <xf numFmtId="0" fontId="2" fillId="3" borderId="1" xfId="0" applyFont="1" applyFill="1" applyBorder="1" applyProtection="1">
      <alignment vertical="center"/>
      <protection locked="0"/>
    </xf>
    <xf numFmtId="0" fontId="8" fillId="3" borderId="1" xfId="0" applyFont="1" applyFill="1" applyBorder="1" applyAlignment="1" applyProtection="1">
      <alignment horizontal="center" vertical="center"/>
      <protection locked="0"/>
    </xf>
    <xf numFmtId="0" fontId="8" fillId="0" borderId="1" xfId="0" applyFont="1" applyBorder="1">
      <alignment vertical="center"/>
    </xf>
    <xf numFmtId="0" fontId="2" fillId="0" borderId="1" xfId="0" applyFont="1" applyBorder="1">
      <alignment vertical="center"/>
    </xf>
    <xf numFmtId="0" fontId="8" fillId="3" borderId="1" xfId="0" applyFont="1" applyFill="1" applyBorder="1" applyAlignment="1" applyProtection="1">
      <alignment horizontal="left" vertical="center"/>
      <protection locked="0"/>
    </xf>
    <xf numFmtId="0" fontId="18" fillId="0" borderId="0" xfId="0" applyFont="1">
      <alignment vertical="center"/>
    </xf>
    <xf numFmtId="0" fontId="2" fillId="2" borderId="3" xfId="0" applyFont="1" applyFill="1" applyBorder="1">
      <alignment vertical="center"/>
    </xf>
    <xf numFmtId="0" fontId="2" fillId="2" borderId="4" xfId="0" applyFont="1" applyFill="1" applyBorder="1">
      <alignment vertical="center"/>
    </xf>
    <xf numFmtId="0" fontId="8" fillId="2" borderId="0" xfId="0" applyFont="1" applyFill="1">
      <alignment vertical="center"/>
    </xf>
    <xf numFmtId="0" fontId="7" fillId="2" borderId="0" xfId="0" applyFont="1" applyFill="1" applyAlignment="1">
      <alignment horizontal="center" vertical="center" wrapText="1"/>
    </xf>
    <xf numFmtId="176" fontId="8" fillId="3" borderId="1" xfId="0" applyNumberFormat="1" applyFont="1" applyFill="1" applyBorder="1" applyAlignment="1" applyProtection="1">
      <alignment horizontal="left" vertical="center"/>
      <protection locked="0"/>
    </xf>
    <xf numFmtId="0" fontId="2" fillId="2" borderId="7" xfId="0" applyFont="1" applyFill="1" applyBorder="1">
      <alignment vertical="center"/>
    </xf>
    <xf numFmtId="0" fontId="2" fillId="2" borderId="17"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12" fillId="2" borderId="0" xfId="0" applyFont="1" applyFill="1">
      <alignment vertical="center"/>
    </xf>
    <xf numFmtId="0" fontId="14" fillId="0" borderId="0" xfId="0" applyFont="1">
      <alignment vertical="center"/>
    </xf>
    <xf numFmtId="0" fontId="20" fillId="2" borderId="0" xfId="0" applyFont="1" applyFill="1">
      <alignment vertical="center"/>
    </xf>
    <xf numFmtId="178" fontId="2" fillId="2" borderId="1" xfId="0" applyNumberFormat="1" applyFont="1" applyFill="1" applyBorder="1" applyAlignment="1">
      <alignment horizontal="right" vertical="center"/>
    </xf>
    <xf numFmtId="179" fontId="2" fillId="2" borderId="1" xfId="0" applyNumberFormat="1" applyFont="1" applyFill="1" applyBorder="1" applyAlignment="1">
      <alignment horizontal="right" vertical="center"/>
    </xf>
    <xf numFmtId="180" fontId="2" fillId="2" borderId="1" xfId="0" applyNumberFormat="1" applyFont="1" applyFill="1" applyBorder="1" applyAlignment="1">
      <alignment horizontal="right" vertical="center"/>
    </xf>
    <xf numFmtId="180" fontId="2" fillId="3" borderId="1" xfId="0" applyNumberFormat="1" applyFont="1" applyFill="1" applyBorder="1" applyAlignment="1" applyProtection="1">
      <alignment horizontal="right" vertical="center"/>
      <protection locked="0"/>
    </xf>
    <xf numFmtId="180" fontId="8" fillId="3" borderId="1" xfId="0" applyNumberFormat="1" applyFont="1" applyFill="1" applyBorder="1" applyAlignment="1" applyProtection="1">
      <alignment horizontal="right" vertical="center"/>
      <protection locked="0"/>
    </xf>
    <xf numFmtId="177" fontId="8" fillId="3" borderId="1" xfId="0" applyNumberFormat="1" applyFont="1" applyFill="1" applyBorder="1" applyAlignment="1" applyProtection="1">
      <alignment horizontal="right" vertical="center"/>
      <protection locked="0"/>
    </xf>
    <xf numFmtId="0" fontId="7" fillId="2" borderId="0" xfId="0" applyFont="1" applyFill="1" applyAlignment="1">
      <alignment vertical="center" wrapText="1"/>
    </xf>
    <xf numFmtId="0" fontId="2" fillId="2" borderId="17" xfId="0" applyFont="1" applyFill="1" applyBorder="1" applyAlignment="1">
      <alignment vertical="center" wrapText="1"/>
    </xf>
    <xf numFmtId="0" fontId="2" fillId="2" borderId="18" xfId="0" applyFont="1" applyFill="1" applyBorder="1">
      <alignmen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2" fontId="8" fillId="2" borderId="0" xfId="0" applyNumberFormat="1" applyFont="1" applyFill="1">
      <alignment vertical="center"/>
    </xf>
    <xf numFmtId="181" fontId="2" fillId="2" borderId="1" xfId="0" applyNumberFormat="1" applyFont="1" applyFill="1" applyBorder="1" applyAlignment="1">
      <alignment horizontal="right" vertical="center"/>
    </xf>
    <xf numFmtId="0" fontId="8" fillId="2" borderId="1" xfId="0" applyFont="1" applyFill="1" applyBorder="1" applyAlignment="1">
      <alignment horizontal="left" vertical="center"/>
    </xf>
    <xf numFmtId="2" fontId="2" fillId="2" borderId="1" xfId="0" applyNumberFormat="1" applyFont="1" applyFill="1" applyBorder="1" applyAlignment="1">
      <alignment horizontal="right" vertical="center"/>
    </xf>
    <xf numFmtId="181" fontId="8" fillId="3" borderId="1" xfId="0" applyNumberFormat="1" applyFont="1" applyFill="1" applyBorder="1" applyAlignment="1" applyProtection="1">
      <alignment horizontal="right" vertical="center"/>
      <protection locked="0"/>
    </xf>
    <xf numFmtId="2" fontId="2" fillId="2" borderId="18" xfId="0" applyNumberFormat="1" applyFont="1" applyFill="1" applyBorder="1">
      <alignment vertical="center"/>
    </xf>
    <xf numFmtId="0" fontId="2" fillId="2" borderId="25" xfId="0" applyFont="1" applyFill="1" applyBorder="1">
      <alignment vertical="center"/>
    </xf>
    <xf numFmtId="0" fontId="2" fillId="2" borderId="24" xfId="0" applyFont="1" applyFill="1" applyBorder="1">
      <alignment vertical="center"/>
    </xf>
    <xf numFmtId="2" fontId="2" fillId="2" borderId="7" xfId="0" applyNumberFormat="1" applyFont="1" applyFill="1" applyBorder="1">
      <alignment vertical="center"/>
    </xf>
    <xf numFmtId="0" fontId="2" fillId="2" borderId="3" xfId="0" applyFont="1" applyFill="1" applyBorder="1" applyAlignment="1">
      <alignment vertical="center" wrapText="1"/>
    </xf>
    <xf numFmtId="0" fontId="2" fillId="2" borderId="26" xfId="0" applyFont="1" applyFill="1" applyBorder="1">
      <alignment vertical="center"/>
    </xf>
    <xf numFmtId="0" fontId="2" fillId="2" borderId="26" xfId="0" applyFont="1" applyFill="1" applyBorder="1" applyAlignment="1">
      <alignment vertical="center" wrapText="1"/>
    </xf>
    <xf numFmtId="0" fontId="2" fillId="2" borderId="1" xfId="0" quotePrefix="1" applyFont="1" applyFill="1" applyBorder="1" applyAlignment="1">
      <alignment horizontal="left" vertical="center"/>
    </xf>
    <xf numFmtId="2" fontId="8" fillId="2" borderId="1" xfId="0" applyNumberFormat="1" applyFont="1" applyFill="1" applyBorder="1">
      <alignment vertical="center"/>
    </xf>
    <xf numFmtId="0" fontId="8" fillId="2" borderId="17" xfId="0" applyFont="1" applyFill="1" applyBorder="1">
      <alignment vertical="center"/>
    </xf>
    <xf numFmtId="0" fontId="8" fillId="2" borderId="18" xfId="0" applyFont="1" applyFill="1" applyBorder="1">
      <alignment vertical="center"/>
    </xf>
    <xf numFmtId="0" fontId="8" fillId="2" borderId="26" xfId="0" applyFont="1" applyFill="1" applyBorder="1">
      <alignment vertical="center"/>
    </xf>
    <xf numFmtId="0" fontId="8" fillId="2" borderId="19" xfId="0" applyFont="1" applyFill="1" applyBorder="1">
      <alignment vertical="center"/>
    </xf>
    <xf numFmtId="0" fontId="8" fillId="2" borderId="3" xfId="0" applyFont="1" applyFill="1" applyBorder="1">
      <alignment vertical="center"/>
    </xf>
    <xf numFmtId="0" fontId="8" fillId="2" borderId="7" xfId="0" applyFont="1" applyFill="1" applyBorder="1">
      <alignment vertical="center"/>
    </xf>
    <xf numFmtId="0" fontId="8" fillId="2" borderId="4" xfId="0" applyFont="1" applyFill="1" applyBorder="1">
      <alignment vertical="center"/>
    </xf>
    <xf numFmtId="0" fontId="22" fillId="2" borderId="0" xfId="0" applyFont="1" applyFill="1" applyAlignment="1">
      <alignment horizontal="center" vertical="center" wrapText="1"/>
    </xf>
    <xf numFmtId="182" fontId="8" fillId="3" borderId="1" xfId="0" applyNumberFormat="1" applyFont="1" applyFill="1" applyBorder="1" applyAlignment="1" applyProtection="1">
      <alignment horizontal="right" vertical="center"/>
      <protection locked="0"/>
    </xf>
    <xf numFmtId="0" fontId="22" fillId="2" borderId="0" xfId="0" applyFont="1" applyFill="1" applyAlignment="1">
      <alignment horizontal="left" vertical="center"/>
    </xf>
    <xf numFmtId="0" fontId="22" fillId="2" borderId="0" xfId="0" applyFont="1" applyFill="1">
      <alignment vertical="center"/>
    </xf>
    <xf numFmtId="183" fontId="8" fillId="3" borderId="1" xfId="0" applyNumberFormat="1" applyFont="1" applyFill="1" applyBorder="1" applyAlignment="1" applyProtection="1">
      <alignment horizontal="right" vertical="center"/>
      <protection locked="0"/>
    </xf>
    <xf numFmtId="0" fontId="26" fillId="2" borderId="0" xfId="0" applyFont="1" applyFill="1">
      <alignment vertical="center"/>
    </xf>
    <xf numFmtId="0" fontId="27" fillId="2" borderId="0" xfId="0" applyFont="1" applyFill="1">
      <alignment vertical="center"/>
    </xf>
    <xf numFmtId="0" fontId="7" fillId="2" borderId="4" xfId="0" applyFont="1" applyFill="1" applyBorder="1" applyAlignment="1">
      <alignment horizontal="center" vertical="center" wrapText="1"/>
    </xf>
    <xf numFmtId="2" fontId="2" fillId="2" borderId="25" xfId="0" applyNumberFormat="1" applyFont="1" applyFill="1" applyBorder="1">
      <alignment vertical="center"/>
    </xf>
    <xf numFmtId="183" fontId="8" fillId="0" borderId="1" xfId="0" applyNumberFormat="1" applyFont="1" applyBorder="1" applyAlignment="1">
      <alignment horizontal="right" vertical="center"/>
    </xf>
    <xf numFmtId="182" fontId="8" fillId="2" borderId="1" xfId="0" applyNumberFormat="1" applyFont="1" applyFill="1" applyBorder="1" applyAlignment="1" applyProtection="1">
      <alignment horizontal="right" vertical="center"/>
      <protection locked="0"/>
    </xf>
    <xf numFmtId="0" fontId="12" fillId="2" borderId="0" xfId="0" applyFont="1" applyFill="1" applyAlignment="1">
      <alignment horizontal="center" vertical="center" wrapText="1"/>
    </xf>
    <xf numFmtId="0" fontId="28" fillId="2" borderId="0" xfId="1" applyFont="1" applyFill="1" applyBorder="1" applyAlignment="1">
      <alignment horizontal="center" vertical="center" wrapText="1"/>
    </xf>
    <xf numFmtId="0" fontId="28" fillId="2" borderId="0" xfId="1" applyFont="1" applyFill="1" applyAlignment="1">
      <alignment horizontal="center" vertical="center" wrapText="1"/>
    </xf>
    <xf numFmtId="0" fontId="28" fillId="2" borderId="0" xfId="1" applyFont="1" applyFill="1" applyAlignment="1">
      <alignment horizontal="center" vertical="center"/>
    </xf>
    <xf numFmtId="0" fontId="2" fillId="2" borderId="18" xfId="0" applyFont="1" applyFill="1" applyBorder="1" applyProtection="1">
      <alignment vertical="center"/>
      <protection locked="0"/>
    </xf>
    <xf numFmtId="0" fontId="2" fillId="2" borderId="19" xfId="0" applyFont="1" applyFill="1" applyBorder="1" applyProtection="1">
      <alignment vertical="center"/>
      <protection locked="0"/>
    </xf>
    <xf numFmtId="2" fontId="8" fillId="3" borderId="1" xfId="0" applyNumberFormat="1" applyFont="1" applyFill="1" applyBorder="1" applyAlignment="1" applyProtection="1">
      <alignment horizontal="right" vertical="center"/>
      <protection locked="0"/>
    </xf>
    <xf numFmtId="183" fontId="8" fillId="5" borderId="1" xfId="0" applyNumberFormat="1" applyFont="1" applyFill="1" applyBorder="1" applyAlignment="1" applyProtection="1">
      <alignment horizontal="right" vertical="center"/>
      <protection locked="0"/>
    </xf>
    <xf numFmtId="2" fontId="8" fillId="3" borderId="1" xfId="0" applyNumberFormat="1" applyFont="1" applyFill="1" applyBorder="1" applyProtection="1">
      <alignment vertical="center"/>
      <protection locked="0"/>
    </xf>
    <xf numFmtId="49" fontId="2" fillId="5" borderId="1" xfId="0" applyNumberFormat="1" applyFont="1" applyFill="1" applyBorder="1" applyAlignment="1" applyProtection="1">
      <alignment horizontal="left" vertical="top"/>
      <protection locked="0"/>
    </xf>
    <xf numFmtId="49" fontId="8" fillId="5" borderId="1" xfId="0" applyNumberFormat="1" applyFont="1" applyFill="1" applyBorder="1" applyProtection="1">
      <alignment vertical="center"/>
      <protection locked="0"/>
    </xf>
    <xf numFmtId="49" fontId="8" fillId="5" borderId="1" xfId="0" applyNumberFormat="1" applyFont="1" applyFill="1" applyBorder="1" applyAlignment="1" applyProtection="1">
      <alignment horizontal="left" vertical="center"/>
      <protection locked="0"/>
    </xf>
    <xf numFmtId="49" fontId="17" fillId="5" borderId="1" xfId="0" applyNumberFormat="1" applyFont="1" applyFill="1" applyBorder="1" applyProtection="1">
      <alignment vertical="center"/>
      <protection locked="0"/>
    </xf>
    <xf numFmtId="49" fontId="2" fillId="5" borderId="1" xfId="0" applyNumberFormat="1" applyFont="1" applyFill="1" applyBorder="1" applyProtection="1">
      <alignment vertical="center"/>
      <protection locked="0"/>
    </xf>
    <xf numFmtId="49" fontId="31" fillId="4" borderId="1" xfId="0" applyNumberFormat="1" applyFont="1" applyFill="1" applyBorder="1" applyAlignment="1">
      <alignment vertical="center" wrapText="1"/>
    </xf>
    <xf numFmtId="49" fontId="31" fillId="4" borderId="17" xfId="0" applyNumberFormat="1" applyFont="1" applyFill="1" applyBorder="1" applyAlignment="1">
      <alignment vertical="center" wrapText="1"/>
    </xf>
    <xf numFmtId="49" fontId="31" fillId="4" borderId="18" xfId="0" applyNumberFormat="1" applyFont="1" applyFill="1" applyBorder="1" applyAlignment="1">
      <alignment vertical="center" wrapText="1"/>
    </xf>
    <xf numFmtId="49" fontId="32" fillId="0" borderId="0" xfId="0" applyNumberFormat="1" applyFont="1" applyAlignment="1">
      <alignment vertical="center" wrapText="1"/>
    </xf>
    <xf numFmtId="0" fontId="31" fillId="4" borderId="3" xfId="0" applyFont="1" applyFill="1" applyBorder="1" applyAlignment="1">
      <alignment vertical="center" wrapText="1"/>
    </xf>
    <xf numFmtId="0" fontId="31" fillId="4" borderId="17" xfId="0" applyFont="1" applyFill="1" applyBorder="1" applyAlignment="1">
      <alignment vertical="center" wrapText="1"/>
    </xf>
    <xf numFmtId="0" fontId="31" fillId="4" borderId="18" xfId="0" applyFont="1" applyFill="1" applyBorder="1" applyAlignment="1">
      <alignment vertical="center" wrapText="1"/>
    </xf>
    <xf numFmtId="0" fontId="31" fillId="4" borderId="1" xfId="0" applyFont="1" applyFill="1" applyBorder="1" applyAlignment="1">
      <alignment vertical="center" wrapText="1"/>
    </xf>
    <xf numFmtId="0" fontId="32" fillId="0" borderId="0" xfId="0" applyFont="1" applyAlignment="1">
      <alignment vertical="center" wrapText="1"/>
    </xf>
    <xf numFmtId="0" fontId="32" fillId="0" borderId="3" xfId="0" applyFont="1" applyBorder="1" applyAlignment="1">
      <alignment vertical="center" wrapText="1"/>
    </xf>
    <xf numFmtId="0" fontId="32" fillId="0" borderId="17" xfId="0" applyFont="1" applyBorder="1" applyAlignment="1">
      <alignment vertical="center" wrapText="1"/>
    </xf>
    <xf numFmtId="0" fontId="32" fillId="0" borderId="18" xfId="0" applyFont="1" applyBorder="1" applyAlignment="1">
      <alignment vertical="center" wrapText="1"/>
    </xf>
    <xf numFmtId="0" fontId="32" fillId="0" borderId="1" xfId="0" applyFont="1" applyBorder="1" applyAlignment="1">
      <alignment vertical="center" wrapText="1"/>
    </xf>
    <xf numFmtId="0" fontId="32" fillId="0" borderId="4" xfId="0" applyFont="1" applyBorder="1" applyAlignment="1">
      <alignment vertical="center" wrapText="1"/>
    </xf>
    <xf numFmtId="0" fontId="32" fillId="0" borderId="1" xfId="0" applyFont="1" applyBorder="1" applyAlignment="1">
      <alignment horizontal="left" vertical="center" wrapText="1"/>
    </xf>
    <xf numFmtId="0" fontId="32" fillId="0" borderId="5" xfId="0" applyFont="1" applyBorder="1" applyAlignment="1">
      <alignment vertical="center" wrapText="1"/>
    </xf>
    <xf numFmtId="0" fontId="32" fillId="0" borderId="16" xfId="0" applyFont="1" applyBorder="1" applyAlignment="1">
      <alignment vertical="center" wrapText="1"/>
    </xf>
    <xf numFmtId="0" fontId="32" fillId="0" borderId="1" xfId="0" applyFont="1" applyBorder="1">
      <alignment vertical="center"/>
    </xf>
    <xf numFmtId="0" fontId="3" fillId="0" borderId="0" xfId="0" applyFont="1" applyAlignment="1">
      <alignment horizontal="left" vertical="center"/>
    </xf>
    <xf numFmtId="0" fontId="3" fillId="0" borderId="0" xfId="0" applyFont="1">
      <alignment vertical="center"/>
    </xf>
    <xf numFmtId="177" fontId="8" fillId="3" borderId="1" xfId="0" applyNumberFormat="1" applyFont="1" applyFill="1" applyBorder="1" applyAlignment="1" applyProtection="1">
      <alignment horizontal="left" vertical="center"/>
      <protection locked="0"/>
    </xf>
    <xf numFmtId="0" fontId="7" fillId="6" borderId="1"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32" fillId="0" borderId="3" xfId="0" applyFont="1" applyBorder="1" applyAlignment="1">
      <alignment horizontal="left" vertical="center" wrapText="1"/>
    </xf>
    <xf numFmtId="0" fontId="34" fillId="0" borderId="0" xfId="0" applyFont="1">
      <alignment vertical="center"/>
    </xf>
    <xf numFmtId="0" fontId="37" fillId="0" borderId="0" xfId="0" applyFont="1">
      <alignment vertical="center"/>
    </xf>
    <xf numFmtId="0" fontId="38" fillId="0" borderId="0" xfId="0" applyFont="1" applyAlignment="1">
      <alignment horizontal="center" vertical="center" wrapText="1"/>
    </xf>
    <xf numFmtId="0" fontId="38" fillId="0" borderId="0" xfId="0" applyFont="1" applyAlignment="1">
      <alignment horizontal="center" vertical="center"/>
    </xf>
    <xf numFmtId="0" fontId="39" fillId="0" borderId="0" xfId="0" applyFont="1">
      <alignment vertical="center"/>
    </xf>
    <xf numFmtId="0" fontId="36" fillId="0" borderId="0" xfId="0" applyFont="1" applyAlignment="1">
      <alignment horizontal="center" vertical="center"/>
    </xf>
    <xf numFmtId="0" fontId="40" fillId="0" borderId="0" xfId="0" applyFont="1" applyAlignment="1">
      <alignment horizontal="left" vertical="center" indent="1"/>
    </xf>
    <xf numFmtId="0" fontId="40" fillId="0" borderId="0" xfId="0" applyFont="1">
      <alignment vertical="center"/>
    </xf>
    <xf numFmtId="0" fontId="12" fillId="0" borderId="0" xfId="0" applyFont="1">
      <alignment vertical="center"/>
    </xf>
    <xf numFmtId="0" fontId="11" fillId="0" borderId="0" xfId="0" applyFont="1" applyAlignment="1"/>
    <xf numFmtId="0" fontId="11" fillId="0" borderId="0" xfId="0" applyFont="1" applyAlignment="1">
      <alignment horizontal="left" vertical="center"/>
    </xf>
    <xf numFmtId="0" fontId="43" fillId="0" borderId="0" xfId="0" applyFont="1">
      <alignment vertical="center"/>
    </xf>
    <xf numFmtId="0" fontId="40" fillId="0" borderId="0" xfId="0" applyFont="1" applyAlignment="1">
      <alignment horizontal="left" indent="1"/>
    </xf>
    <xf numFmtId="0" fontId="11" fillId="0" borderId="0" xfId="0" applyFont="1" applyAlignment="1">
      <alignment horizontal="left" vertical="center" wrapText="1"/>
    </xf>
    <xf numFmtId="0" fontId="44" fillId="0" borderId="0" xfId="1" applyFont="1" applyAlignment="1"/>
    <xf numFmtId="0" fontId="44" fillId="0" borderId="0" xfId="1" applyFont="1" applyBorder="1" applyAlignment="1">
      <alignment horizontal="center"/>
    </xf>
    <xf numFmtId="0" fontId="44" fillId="0" borderId="0" xfId="1" applyFont="1" applyAlignment="1">
      <alignment horizontal="center"/>
    </xf>
    <xf numFmtId="0" fontId="42" fillId="0" borderId="0" xfId="1" applyFont="1" applyFill="1" applyBorder="1" applyAlignment="1">
      <alignment horizontal="center" vertical="center"/>
    </xf>
    <xf numFmtId="0" fontId="44" fillId="0" borderId="0" xfId="1" applyFont="1" applyBorder="1" applyAlignment="1"/>
    <xf numFmtId="0" fontId="45" fillId="0" borderId="0" xfId="0" applyFont="1" applyAlignment="1">
      <alignment horizontal="center" vertical="center"/>
    </xf>
    <xf numFmtId="0" fontId="46" fillId="0" borderId="0" xfId="0" applyFont="1">
      <alignment vertical="center"/>
    </xf>
    <xf numFmtId="0" fontId="47" fillId="0" borderId="0" xfId="0" applyFont="1">
      <alignment vertical="center"/>
    </xf>
    <xf numFmtId="0" fontId="32" fillId="0" borderId="2" xfId="0" applyFont="1" applyBorder="1" applyAlignment="1">
      <alignment vertical="center" wrapText="1"/>
    </xf>
    <xf numFmtId="0" fontId="0" fillId="8" borderId="1" xfId="0" applyFill="1" applyBorder="1" applyAlignment="1">
      <alignment vertical="center" wrapText="1"/>
    </xf>
    <xf numFmtId="0" fontId="0" fillId="8" borderId="1" xfId="0" applyFill="1" applyBorder="1">
      <alignment vertical="center"/>
    </xf>
    <xf numFmtId="0" fontId="0" fillId="0" borderId="1" xfId="0" applyBorder="1" applyAlignment="1">
      <alignment vertical="top" wrapText="1"/>
    </xf>
    <xf numFmtId="176" fontId="2" fillId="3" borderId="1" xfId="0" applyNumberFormat="1" applyFont="1" applyFill="1" applyBorder="1" applyProtection="1">
      <alignment vertical="center"/>
      <protection locked="0"/>
    </xf>
    <xf numFmtId="0" fontId="42" fillId="7" borderId="0" xfId="1" applyFont="1" applyFill="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wrapText="1"/>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14" fontId="0" fillId="0" borderId="8" xfId="0" applyNumberFormat="1" applyBorder="1">
      <alignment vertical="center"/>
    </xf>
    <xf numFmtId="14" fontId="0" fillId="0" borderId="13" xfId="0" applyNumberFormat="1" applyBorder="1">
      <alignment vertical="center"/>
    </xf>
    <xf numFmtId="14" fontId="0" fillId="0" borderId="9" xfId="0" applyNumberFormat="1" applyBorder="1">
      <alignment vertical="center"/>
    </xf>
    <xf numFmtId="0" fontId="0" fillId="0" borderId="8" xfId="0" applyBorder="1">
      <alignment vertical="center"/>
    </xf>
    <xf numFmtId="0" fontId="0" fillId="0" borderId="13" xfId="0" applyBorder="1">
      <alignment vertical="center"/>
    </xf>
    <xf numFmtId="0" fontId="0" fillId="0" borderId="9" xfId="0" applyBorder="1">
      <alignment vertical="center"/>
    </xf>
    <xf numFmtId="0" fontId="0" fillId="8" borderId="8" xfId="0" applyFill="1" applyBorder="1" applyAlignment="1">
      <alignment horizontal="center" vertical="center"/>
    </xf>
    <xf numFmtId="0" fontId="0" fillId="8" borderId="13" xfId="0" applyFill="1" applyBorder="1" applyAlignment="1">
      <alignment horizontal="center" vertical="center"/>
    </xf>
    <xf numFmtId="0" fontId="0" fillId="8" borderId="9" xfId="0" applyFill="1" applyBorder="1" applyAlignment="1">
      <alignment horizontal="center" vertical="center"/>
    </xf>
    <xf numFmtId="14" fontId="0" fillId="8" borderId="8" xfId="0" applyNumberFormat="1" applyFill="1" applyBorder="1">
      <alignment vertical="center"/>
    </xf>
    <xf numFmtId="14" fontId="0" fillId="8" borderId="13" xfId="0" applyNumberFormat="1" applyFill="1" applyBorder="1">
      <alignment vertical="center"/>
    </xf>
    <xf numFmtId="14" fontId="0" fillId="8" borderId="9" xfId="0" applyNumberFormat="1" applyFill="1" applyBorder="1">
      <alignment vertical="center"/>
    </xf>
    <xf numFmtId="0" fontId="0" fillId="8" borderId="8" xfId="0" applyFill="1" applyBorder="1" applyAlignment="1">
      <alignment horizontal="left" vertical="center"/>
    </xf>
    <xf numFmtId="0" fontId="0" fillId="8" borderId="13" xfId="0" applyFill="1" applyBorder="1" applyAlignment="1">
      <alignment horizontal="left" vertical="center"/>
    </xf>
    <xf numFmtId="0" fontId="0" fillId="8" borderId="9" xfId="0" applyFill="1" applyBorder="1" applyAlignment="1">
      <alignment horizontal="left" vertical="center"/>
    </xf>
    <xf numFmtId="49" fontId="2" fillId="3" borderId="3" xfId="0" applyNumberFormat="1" applyFont="1" applyFill="1" applyBorder="1" applyAlignment="1" applyProtection="1">
      <alignment horizontal="left" vertical="center" wrapText="1"/>
      <protection locked="0"/>
    </xf>
    <xf numFmtId="49" fontId="2" fillId="3" borderId="7" xfId="0" applyNumberFormat="1" applyFont="1" applyFill="1" applyBorder="1" applyAlignment="1" applyProtection="1">
      <alignment horizontal="left" vertical="center" wrapText="1"/>
      <protection locked="0"/>
    </xf>
    <xf numFmtId="49" fontId="2" fillId="3" borderId="4" xfId="0" applyNumberFormat="1" applyFont="1" applyFill="1" applyBorder="1" applyAlignment="1" applyProtection="1">
      <alignment horizontal="left" vertical="center" wrapText="1"/>
      <protection locked="0"/>
    </xf>
    <xf numFmtId="49" fontId="2" fillId="5" borderId="3" xfId="0" applyNumberFormat="1" applyFont="1" applyFill="1" applyBorder="1" applyAlignment="1" applyProtection="1">
      <alignment horizontal="left" vertical="center" wrapText="1"/>
      <protection locked="0"/>
    </xf>
    <xf numFmtId="49" fontId="2" fillId="5" borderId="7" xfId="0" applyNumberFormat="1" applyFont="1" applyFill="1" applyBorder="1" applyAlignment="1" applyProtection="1">
      <alignment horizontal="left" vertical="center" wrapText="1"/>
      <protection locked="0"/>
    </xf>
    <xf numFmtId="49" fontId="2" fillId="5" borderId="4" xfId="0" applyNumberFormat="1" applyFont="1" applyFill="1" applyBorder="1" applyAlignment="1" applyProtection="1">
      <alignment horizontal="left" vertical="center" wrapText="1"/>
      <protection locked="0"/>
    </xf>
    <xf numFmtId="49" fontId="2" fillId="3" borderId="3" xfId="0" applyNumberFormat="1" applyFont="1" applyFill="1" applyBorder="1" applyAlignment="1" applyProtection="1">
      <alignment vertical="center" wrapText="1"/>
      <protection locked="0"/>
    </xf>
    <xf numFmtId="49" fontId="2" fillId="3" borderId="7" xfId="0" applyNumberFormat="1" applyFont="1" applyFill="1" applyBorder="1" applyAlignment="1" applyProtection="1">
      <alignment vertical="center" wrapText="1"/>
      <protection locked="0"/>
    </xf>
    <xf numFmtId="49" fontId="2" fillId="3" borderId="4" xfId="0" applyNumberFormat="1" applyFont="1" applyFill="1" applyBorder="1" applyAlignment="1" applyProtection="1">
      <alignment vertical="center" wrapText="1"/>
      <protection locked="0"/>
    </xf>
    <xf numFmtId="0" fontId="6" fillId="2" borderId="3"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4" xfId="0" applyFont="1" applyFill="1" applyBorder="1" applyAlignment="1">
      <alignment horizontal="left" vertical="center" wrapText="1"/>
    </xf>
    <xf numFmtId="0" fontId="4" fillId="2" borderId="14" xfId="0" applyFont="1" applyFill="1" applyBorder="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horizontal="left" vertical="center" wrapText="1" indent="1"/>
    </xf>
    <xf numFmtId="0" fontId="2" fillId="2" borderId="1"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2" xfId="0" applyFont="1" applyFill="1" applyBorder="1" applyAlignment="1">
      <alignment horizontal="left" vertical="center"/>
    </xf>
    <xf numFmtId="0" fontId="2" fillId="2" borderId="10" xfId="0" applyFont="1" applyFill="1" applyBorder="1" applyAlignment="1">
      <alignment horizontal="left" vertical="center"/>
    </xf>
    <xf numFmtId="0" fontId="2" fillId="2" borderId="6" xfId="0" applyFont="1" applyFill="1" applyBorder="1" applyAlignment="1">
      <alignment horizontal="left"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2" borderId="5"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1" xfId="0" applyFont="1" applyFill="1" applyBorder="1" applyAlignment="1">
      <alignment horizontal="left" vertical="center" wrapText="1"/>
    </xf>
    <xf numFmtId="178" fontId="2" fillId="0" borderId="3" xfId="0" applyNumberFormat="1" applyFont="1" applyBorder="1" applyAlignment="1">
      <alignment horizontal="right" vertical="center"/>
    </xf>
    <xf numFmtId="178" fontId="2" fillId="0" borderId="4" xfId="0" applyNumberFormat="1" applyFont="1" applyBorder="1" applyAlignment="1">
      <alignment horizontal="right" vertical="center"/>
    </xf>
    <xf numFmtId="177" fontId="2" fillId="0" borderId="3" xfId="2" applyNumberFormat="1" applyFont="1" applyFill="1" applyBorder="1" applyAlignment="1">
      <alignment horizontal="right" vertical="center"/>
    </xf>
    <xf numFmtId="177" fontId="2" fillId="0" borderId="4" xfId="2" applyNumberFormat="1" applyFont="1" applyFill="1" applyBorder="1" applyAlignment="1">
      <alignment horizontal="right" vertical="center"/>
    </xf>
    <xf numFmtId="178" fontId="2" fillId="3" borderId="3" xfId="0" applyNumberFormat="1" applyFont="1" applyFill="1" applyBorder="1" applyAlignment="1" applyProtection="1">
      <alignment horizontal="right" vertical="center"/>
      <protection locked="0"/>
    </xf>
    <xf numFmtId="178" fontId="2" fillId="3" borderId="4" xfId="0" applyNumberFormat="1" applyFont="1" applyFill="1" applyBorder="1" applyAlignment="1" applyProtection="1">
      <alignment horizontal="right" vertical="center"/>
      <protection locked="0"/>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9" xfId="0" applyFont="1" applyFill="1" applyBorder="1" applyAlignment="1">
      <alignment horizontal="center" vertical="center" wrapText="1"/>
    </xf>
    <xf numFmtId="177" fontId="2" fillId="3" borderId="3" xfId="0" applyNumberFormat="1" applyFont="1" applyFill="1" applyBorder="1" applyAlignment="1" applyProtection="1">
      <alignment horizontal="right" vertical="center"/>
      <protection locked="0"/>
    </xf>
    <xf numFmtId="177" fontId="2" fillId="3" borderId="4" xfId="0" applyNumberFormat="1" applyFont="1" applyFill="1" applyBorder="1" applyAlignment="1" applyProtection="1">
      <alignment horizontal="right" vertical="center"/>
      <protection locked="0"/>
    </xf>
    <xf numFmtId="0" fontId="2" fillId="2" borderId="0" xfId="0" applyFont="1" applyFill="1" applyAlignment="1">
      <alignment horizontal="left" vertical="center" wrapText="1"/>
    </xf>
    <xf numFmtId="0" fontId="2" fillId="2" borderId="0" xfId="0" applyFont="1" applyFill="1" applyAlignment="1">
      <alignment horizontal="left" vertical="center" wrapText="1" indent="1"/>
    </xf>
    <xf numFmtId="0" fontId="6" fillId="2" borderId="12" xfId="0" applyFont="1" applyFill="1" applyBorder="1" applyAlignment="1">
      <alignment horizontal="left" vertical="center" wrapText="1" indent="1"/>
    </xf>
    <xf numFmtId="0" fontId="2" fillId="2" borderId="3"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3" xfId="0" applyFont="1" applyFill="1" applyBorder="1" applyAlignment="1">
      <alignment horizontal="left" vertical="center"/>
    </xf>
    <xf numFmtId="0" fontId="2" fillId="2" borderId="7"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2" fillId="2" borderId="13"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8" xfId="0" applyFont="1" applyFill="1" applyBorder="1" applyAlignment="1">
      <alignment horizontal="left" vertical="top" wrapText="1"/>
    </xf>
    <xf numFmtId="0" fontId="9" fillId="2" borderId="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7" fillId="2" borderId="8" xfId="0" applyFont="1" applyFill="1" applyBorder="1" applyAlignment="1">
      <alignment horizontal="left" vertical="top" wrapText="1"/>
    </xf>
    <xf numFmtId="0" fontId="7" fillId="2" borderId="13"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3" xfId="0" applyFont="1" applyFill="1" applyBorder="1" applyAlignment="1">
      <alignment horizontal="left" vertical="center"/>
    </xf>
    <xf numFmtId="0" fontId="7" fillId="2" borderId="7" xfId="0" applyFont="1" applyFill="1" applyBorder="1" applyAlignment="1">
      <alignment horizontal="left" vertical="center"/>
    </xf>
    <xf numFmtId="0" fontId="7" fillId="2" borderId="4" xfId="0" applyFont="1" applyFill="1" applyBorder="1" applyAlignment="1">
      <alignment horizontal="left" vertical="center"/>
    </xf>
    <xf numFmtId="0" fontId="9" fillId="6" borderId="8"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2" fillId="2" borderId="0" xfId="0" applyFont="1" applyFill="1" applyAlignment="1">
      <alignment horizontal="center" vertical="center"/>
    </xf>
    <xf numFmtId="0" fontId="7" fillId="2" borderId="5"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12" xfId="0" applyFont="1" applyFill="1" applyBorder="1" applyAlignment="1">
      <alignment horizontal="left" vertical="top" wrapText="1"/>
    </xf>
    <xf numFmtId="0" fontId="7" fillId="2" borderId="11" xfId="0" applyFont="1" applyFill="1" applyBorder="1" applyAlignment="1">
      <alignment horizontal="left" vertical="top" wrapText="1"/>
    </xf>
    <xf numFmtId="0" fontId="7" fillId="2" borderId="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4" xfId="0" applyFont="1" applyFill="1" applyBorder="1" applyAlignment="1">
      <alignment horizontal="center" vertical="center"/>
    </xf>
    <xf numFmtId="0" fontId="7" fillId="6" borderId="8"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13" xfId="0" applyFont="1" applyFill="1" applyBorder="1" applyAlignment="1">
      <alignment horizontal="center" vertical="center" wrapText="1"/>
    </xf>
    <xf numFmtId="0" fontId="9" fillId="2" borderId="5" xfId="0" applyFont="1" applyFill="1" applyBorder="1" applyAlignment="1">
      <alignment horizontal="left" vertical="top"/>
    </xf>
    <xf numFmtId="0" fontId="9" fillId="2" borderId="2" xfId="0" applyFont="1" applyFill="1" applyBorder="1" applyAlignment="1">
      <alignment horizontal="left" vertical="top"/>
    </xf>
    <xf numFmtId="0" fontId="9" fillId="2" borderId="10" xfId="0" applyFont="1" applyFill="1" applyBorder="1" applyAlignment="1">
      <alignment horizontal="left" vertical="top"/>
    </xf>
    <xf numFmtId="0" fontId="9" fillId="2" borderId="6" xfId="0" applyFont="1" applyFill="1" applyBorder="1" applyAlignment="1">
      <alignment horizontal="left" vertical="top"/>
    </xf>
    <xf numFmtId="0" fontId="9" fillId="2" borderId="12" xfId="0" applyFont="1" applyFill="1" applyBorder="1" applyAlignment="1">
      <alignment horizontal="left" vertical="top"/>
    </xf>
    <xf numFmtId="0" fontId="9" fillId="2" borderId="11" xfId="0" applyFont="1" applyFill="1" applyBorder="1" applyAlignment="1">
      <alignment horizontal="left" vertical="top"/>
    </xf>
    <xf numFmtId="0" fontId="9" fillId="6" borderId="1" xfId="0" applyFont="1" applyFill="1" applyBorder="1" applyAlignment="1">
      <alignment horizontal="center" vertical="center" wrapText="1"/>
    </xf>
    <xf numFmtId="0" fontId="7" fillId="2" borderId="14" xfId="0" applyFont="1" applyFill="1" applyBorder="1" applyAlignment="1">
      <alignment horizontal="left" vertical="top" wrapText="1"/>
    </xf>
    <xf numFmtId="0" fontId="7" fillId="2" borderId="0" xfId="0" applyFont="1" applyFill="1" applyAlignment="1">
      <alignment horizontal="left" vertical="top" wrapText="1"/>
    </xf>
    <xf numFmtId="0" fontId="7" fillId="2" borderId="15" xfId="0" applyFont="1" applyFill="1" applyBorder="1" applyAlignment="1">
      <alignment horizontal="left" vertical="top" wrapText="1"/>
    </xf>
    <xf numFmtId="0" fontId="7" fillId="2" borderId="6" xfId="0" applyFont="1" applyFill="1" applyBorder="1" applyAlignment="1">
      <alignment horizontal="left" vertical="top"/>
    </xf>
    <xf numFmtId="0" fontId="7" fillId="2" borderId="12" xfId="0" applyFont="1" applyFill="1" applyBorder="1" applyAlignment="1">
      <alignment horizontal="left" vertical="top"/>
    </xf>
    <xf numFmtId="0" fontId="7" fillId="0" borderId="5" xfId="0" applyFont="1" applyBorder="1" applyAlignment="1">
      <alignment horizontal="left" vertical="top" wrapText="1"/>
    </xf>
    <xf numFmtId="0" fontId="7" fillId="0" borderId="2" xfId="0" applyFont="1" applyBorder="1" applyAlignment="1">
      <alignment horizontal="left" vertical="top" wrapText="1"/>
    </xf>
    <xf numFmtId="0" fontId="7" fillId="0" borderId="10" xfId="0" applyFont="1" applyBorder="1" applyAlignment="1">
      <alignment horizontal="left" vertical="top" wrapText="1"/>
    </xf>
    <xf numFmtId="0" fontId="7" fillId="0" borderId="6" xfId="0" applyFont="1" applyBorder="1" applyAlignment="1">
      <alignment horizontal="left" vertical="top" wrapText="1"/>
    </xf>
    <xf numFmtId="0" fontId="7" fillId="0" borderId="12" xfId="0" applyFont="1" applyBorder="1" applyAlignment="1">
      <alignment horizontal="left" vertical="top" wrapText="1"/>
    </xf>
    <xf numFmtId="0" fontId="7" fillId="0" borderId="11" xfId="0" applyFont="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36" fillId="0" borderId="0" xfId="0" applyFont="1" applyAlignment="1">
      <alignment vertical="center"/>
    </xf>
    <xf numFmtId="0" fontId="22" fillId="0" borderId="0" xfId="0" applyFont="1" applyAlignment="1">
      <alignment vertical="center"/>
    </xf>
    <xf numFmtId="0" fontId="22" fillId="0" borderId="0" xfId="0" applyFont="1" applyAlignment="1">
      <alignment horizontal="right" vertical="center"/>
    </xf>
  </cellXfs>
  <cellStyles count="3">
    <cellStyle name="ハイパーリンク" xfId="1" builtinId="8"/>
    <cellStyle name="桁区切り" xfId="2" builtinId="6"/>
    <cellStyle name="標準" xfId="0" builtinId="0"/>
  </cellStyles>
  <dxfs count="64">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2" tint="-9.9948118533890809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theme="0"/>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2" tint="-9.9948118533890809E-2"/>
        </patternFill>
      </fill>
    </dxf>
    <dxf>
      <fill>
        <patternFill>
          <bgColor theme="0"/>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theme="0"/>
        </patternFill>
      </fill>
    </dxf>
    <dxf>
      <fill>
        <patternFill>
          <bgColor theme="0" tint="-0.24994659260841701"/>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patternType="solid">
          <bgColor theme="0"/>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patternType="solid">
          <bgColor theme="0"/>
        </patternFill>
      </fill>
    </dxf>
  </dxfs>
  <tableStyles count="0" defaultTableStyle="TableStyleMedium2" defaultPivotStyle="PivotStyleLight16"/>
  <colors>
    <mruColors>
      <color rgb="FFFFF8E5"/>
      <color rgb="FFFFF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S$16" lockText="1" noThreeD="1"/>
</file>

<file path=xl/ctrlProps/ctrlProp2.xml><?xml version="1.0" encoding="utf-8"?>
<formControlPr xmlns="http://schemas.microsoft.com/office/spreadsheetml/2009/9/main" objectType="CheckBox" checked="Checked" fmlaLink="$U$16" lockText="1" noThreeD="1"/>
</file>

<file path=xl/ctrlProps/ctrlProp3.xml><?xml version="1.0" encoding="utf-8"?>
<formControlPr xmlns="http://schemas.microsoft.com/office/spreadsheetml/2009/9/main" objectType="CheckBox" checked="Checked" fmlaLink="$W$16" lockText="1" noThreeD="1"/>
</file>

<file path=xl/ctrlProps/ctrlProp4.xml><?xml version="1.0" encoding="utf-8"?>
<formControlPr xmlns="http://schemas.microsoft.com/office/spreadsheetml/2009/9/main" objectType="Radio" checked="Checked" firstButton="1" fmlaLink="$S$17"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6</xdr:col>
      <xdr:colOff>257515</xdr:colOff>
      <xdr:row>18</xdr:row>
      <xdr:rowOff>68944</xdr:rowOff>
    </xdr:from>
    <xdr:to>
      <xdr:col>7</xdr:col>
      <xdr:colOff>400390</xdr:colOff>
      <xdr:row>19</xdr:row>
      <xdr:rowOff>2270</xdr:rowOff>
    </xdr:to>
    <xdr:sp macro="" textlink="">
      <xdr:nvSpPr>
        <xdr:cNvPr id="7" name="下矢印 36">
          <a:extLst>
            <a:ext uri="{FF2B5EF4-FFF2-40B4-BE49-F238E27FC236}">
              <a16:creationId xmlns:a16="http://schemas.microsoft.com/office/drawing/2014/main" id="{00000000-0008-0000-0000-000007000000}"/>
            </a:ext>
          </a:extLst>
        </xdr:cNvPr>
        <xdr:cNvSpPr/>
      </xdr:nvSpPr>
      <xdr:spPr>
        <a:xfrm>
          <a:off x="10933135" y="7879444"/>
          <a:ext cx="828675" cy="222886"/>
        </a:xfrm>
        <a:prstGeom prst="down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71437</xdr:colOff>
      <xdr:row>6</xdr:row>
      <xdr:rowOff>79375</xdr:rowOff>
    </xdr:from>
    <xdr:to>
      <xdr:col>18</xdr:col>
      <xdr:colOff>266700</xdr:colOff>
      <xdr:row>9</xdr:row>
      <xdr:rowOff>117475</xdr:rowOff>
    </xdr:to>
    <xdr:sp macro="" textlink="">
      <xdr:nvSpPr>
        <xdr:cNvPr id="14" name="横巻き 4">
          <a:extLst>
            <a:ext uri="{FF2B5EF4-FFF2-40B4-BE49-F238E27FC236}">
              <a16:creationId xmlns:a16="http://schemas.microsoft.com/office/drawing/2014/main" id="{00000000-0008-0000-0000-00000E000000}"/>
            </a:ext>
          </a:extLst>
        </xdr:cNvPr>
        <xdr:cNvSpPr/>
      </xdr:nvSpPr>
      <xdr:spPr>
        <a:xfrm>
          <a:off x="8003857" y="1862455"/>
          <a:ext cx="4995863" cy="655320"/>
        </a:xfrm>
        <a:prstGeom prst="horizontalScroll">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リンクをクリックすると、入力シートに移動します。（以下、同様）</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20972</xdr:colOff>
      <xdr:row>38</xdr:row>
      <xdr:rowOff>68371</xdr:rowOff>
    </xdr:from>
    <xdr:ext cx="7821268" cy="64248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972" y="9918444"/>
          <a:ext cx="7821268" cy="642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a:solidFill>
                <a:sysClr val="windowText" lastClr="000000"/>
              </a:solidFill>
              <a:latin typeface="ＭＳ 明朝" panose="02020609040205080304" pitchFamily="17" charset="-128"/>
              <a:ea typeface="ＭＳ 明朝" panose="02020609040205080304" pitchFamily="17" charset="-128"/>
            </a:rPr>
            <a:t>備考　１　複数の建物供給事業者が連名で特定供給事業者に承認されている場合、１の建物供給事業者の欄は当該承認</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に係る全ての建物供給事業者について記載し、建物供給事業者（代表申請者）の欄は代表申請者を記載すること。</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２　「</a:t>
          </a:r>
          <a:r>
            <a:rPr kumimoji="1" lang="en-US" altLang="ja-JP" sz="1100">
              <a:solidFill>
                <a:sysClr val="windowText" lastClr="000000"/>
              </a:solidFill>
              <a:latin typeface="ＭＳ 明朝" panose="02020609040205080304" pitchFamily="17" charset="-128"/>
              <a:ea typeface="ＭＳ 明朝" panose="02020609040205080304" pitchFamily="17" charset="-128"/>
            </a:rPr>
            <a:t>[  ]</a:t>
          </a:r>
          <a:r>
            <a:rPr kumimoji="1" lang="ja-JP" altLang="en-US" sz="1100">
              <a:solidFill>
                <a:sysClr val="windowText" lastClr="000000"/>
              </a:solidFill>
              <a:latin typeface="ＭＳ 明朝" panose="02020609040205080304" pitchFamily="17" charset="-128"/>
              <a:ea typeface="ＭＳ 明朝" panose="02020609040205080304" pitchFamily="17" charset="-128"/>
            </a:rPr>
            <a:t>」には該当する事項に○印を記載すること。</a:t>
          </a:r>
        </a:p>
      </xdr:txBody>
    </xdr:sp>
    <xdr:clientData/>
  </xdr:oneCellAnchor>
  <mc:AlternateContent xmlns:mc="http://schemas.openxmlformats.org/markup-compatibility/2006">
    <mc:Choice xmlns:a14="http://schemas.microsoft.com/office/drawing/2010/main" Requires="a14">
      <xdr:twoCellAnchor editAs="oneCell">
        <xdr:from>
          <xdr:col>4</xdr:col>
          <xdr:colOff>704850</xdr:colOff>
          <xdr:row>15</xdr:row>
          <xdr:rowOff>47625</xdr:rowOff>
        </xdr:from>
        <xdr:to>
          <xdr:col>5</xdr:col>
          <xdr:colOff>228600</xdr:colOff>
          <xdr:row>15</xdr:row>
          <xdr:rowOff>276225</xdr:rowOff>
        </xdr:to>
        <xdr:sp macro="" textlink="">
          <xdr:nvSpPr>
            <xdr:cNvPr id="9218" name="Check Box 2" descr="住宅一戸建て住宅建築主"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15</xdr:row>
          <xdr:rowOff>209550</xdr:rowOff>
        </xdr:from>
        <xdr:to>
          <xdr:col>5</xdr:col>
          <xdr:colOff>228600</xdr:colOff>
          <xdr:row>15</xdr:row>
          <xdr:rowOff>438150</xdr:rowOff>
        </xdr:to>
        <xdr:sp macro="" textlink="">
          <xdr:nvSpPr>
            <xdr:cNvPr id="9223" name="Check Box 7" descr="特定一戸建て住宅建設工事業者"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15</xdr:row>
          <xdr:rowOff>371475</xdr:rowOff>
        </xdr:from>
        <xdr:to>
          <xdr:col>5</xdr:col>
          <xdr:colOff>228600</xdr:colOff>
          <xdr:row>15</xdr:row>
          <xdr:rowOff>600075</xdr:rowOff>
        </xdr:to>
        <xdr:sp macro="" textlink="">
          <xdr:nvSpPr>
            <xdr:cNvPr id="9224" name="Check Box 8" descr="特定共同住宅等建築主又は特定共同住宅等建設工事業者"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16</xdr:row>
          <xdr:rowOff>38100</xdr:rowOff>
        </xdr:from>
        <xdr:to>
          <xdr:col>5</xdr:col>
          <xdr:colOff>257175</xdr:colOff>
          <xdr:row>16</xdr:row>
          <xdr:rowOff>257175</xdr:rowOff>
        </xdr:to>
        <xdr:sp macro="" textlink="">
          <xdr:nvSpPr>
            <xdr:cNvPr id="9226" name="Option Button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16</xdr:row>
          <xdr:rowOff>209550</xdr:rowOff>
        </xdr:from>
        <xdr:to>
          <xdr:col>5</xdr:col>
          <xdr:colOff>257175</xdr:colOff>
          <xdr:row>16</xdr:row>
          <xdr:rowOff>428625</xdr:rowOff>
        </xdr:to>
        <xdr:sp macro="" textlink="">
          <xdr:nvSpPr>
            <xdr:cNvPr id="9227" name="Option Button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16</xdr:row>
          <xdr:rowOff>361950</xdr:rowOff>
        </xdr:from>
        <xdr:to>
          <xdr:col>5</xdr:col>
          <xdr:colOff>257175</xdr:colOff>
          <xdr:row>16</xdr:row>
          <xdr:rowOff>590550</xdr:rowOff>
        </xdr:to>
        <xdr:sp macro="" textlink="">
          <xdr:nvSpPr>
            <xdr:cNvPr id="9228" name="Option Button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1008742</xdr:colOff>
      <xdr:row>1</xdr:row>
      <xdr:rowOff>1210</xdr:rowOff>
    </xdr:from>
    <xdr:to>
      <xdr:col>27</xdr:col>
      <xdr:colOff>182880</xdr:colOff>
      <xdr:row>8</xdr:row>
      <xdr:rowOff>167640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1097622" y="199330"/>
          <a:ext cx="3014618" cy="1682810"/>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記入にあたっての注意点（以降のシートも同様）</a:t>
          </a:r>
          <a:r>
            <a:rPr kumimoji="1" lang="en-US" altLang="ja-JP" sz="1050" b="1">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・セルの背景色に応じて必須</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任意の判別が可能です。</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青：必須入力</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黄：任意入力</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白：自動入力（入力不要）</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・項目ごとの注意点は、セルに付記されたメモを参照してください。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1</xdr:col>
      <xdr:colOff>116029</xdr:colOff>
      <xdr:row>27</xdr:row>
      <xdr:rowOff>78957</xdr:rowOff>
    </xdr:from>
    <xdr:ext cx="11723546" cy="1376018"/>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32570" y="6784557"/>
          <a:ext cx="11723546" cy="1376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a:latin typeface="ＭＳ 明朝" panose="02020609040205080304" pitchFamily="17" charset="-128"/>
              <a:ea typeface="ＭＳ 明朝" panose="02020609040205080304" pitchFamily="17" charset="-128"/>
            </a:rPr>
            <a:t>備考　１　分譲戸建住宅は都民の健康と安全を確保する環境に関する条例施行規則別表第１の５　３の項の表イ、注文戸建住宅は同表ロ、共同住宅は同表ハ、その他の住宅は同表ニに</a:t>
          </a:r>
        </a:p>
        <a:p>
          <a:r>
            <a:rPr kumimoji="1" lang="ja-JP" altLang="en-US" sz="1100">
              <a:latin typeface="ＭＳ 明朝" panose="02020609040205080304" pitchFamily="17" charset="-128"/>
              <a:ea typeface="ＭＳ 明朝" panose="02020609040205080304" pitchFamily="17" charset="-128"/>
            </a:rPr>
            <a:t>　　　　規定するものを示す。</a:t>
          </a:r>
        </a:p>
        <a:p>
          <a:r>
            <a:rPr kumimoji="1" lang="ja-JP" altLang="en-US" sz="1100">
              <a:latin typeface="ＭＳ 明朝" panose="02020609040205080304" pitchFamily="17" charset="-128"/>
              <a:ea typeface="ＭＳ 明朝" panose="02020609040205080304" pitchFamily="17" charset="-128"/>
            </a:rPr>
            <a:t>　　　２　（１）及び（３）の基準及び誘導すべき基準に対する適合状況の欄は、当該中小規模特定建築物の区分における全ての建築物が当該基準に適合する場合は「適合」と記載し、</a:t>
          </a:r>
        </a:p>
        <a:p>
          <a:r>
            <a:rPr kumimoji="1" lang="ja-JP" altLang="en-US" sz="1100">
              <a:latin typeface="ＭＳ 明朝" panose="02020609040205080304" pitchFamily="17" charset="-128"/>
              <a:ea typeface="ＭＳ 明朝" panose="02020609040205080304" pitchFamily="17" charset="-128"/>
            </a:rPr>
            <a:t>　　　　適合しない建築物がある場合は「適合しない」、全ての建築物において当該基準が適用されない又は当該区分の建築物を新たに建設し、又は新築しようとしなかった場合は</a:t>
          </a:r>
        </a:p>
        <a:p>
          <a:r>
            <a:rPr kumimoji="1" lang="ja-JP" altLang="en-US" sz="1100">
              <a:latin typeface="ＭＳ 明朝" panose="02020609040205080304" pitchFamily="17" charset="-128"/>
              <a:ea typeface="ＭＳ 明朝" panose="02020609040205080304" pitchFamily="17" charset="-128"/>
            </a:rPr>
            <a:t>　　　　「－」と記載すること。</a:t>
          </a:r>
        </a:p>
        <a:p>
          <a:r>
            <a:rPr kumimoji="1" lang="ja-JP" altLang="en-US" sz="1100">
              <a:latin typeface="ＭＳ 明朝" panose="02020609040205080304" pitchFamily="17" charset="-128"/>
              <a:ea typeface="ＭＳ 明朝" panose="02020609040205080304" pitchFamily="17" charset="-128"/>
            </a:rPr>
            <a:t>　　　３　（２）の基準及び誘導すべき基準に対する適合状況の欄は、当該基準に適合する場合は「適合」と、適合しない場合は「適合しない」と、全ての建築物において当該基準が</a:t>
          </a:r>
        </a:p>
        <a:p>
          <a:r>
            <a:rPr kumimoji="1" lang="ja-JP" altLang="en-US" sz="1100">
              <a:latin typeface="ＭＳ 明朝" panose="02020609040205080304" pitchFamily="17" charset="-128"/>
              <a:ea typeface="ＭＳ 明朝" panose="02020609040205080304" pitchFamily="17" charset="-128"/>
            </a:rPr>
            <a:t>　　　　適用されない場合は「－」と記載すること。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171449</xdr:colOff>
      <xdr:row>24</xdr:row>
      <xdr:rowOff>9525</xdr:rowOff>
    </xdr:from>
    <xdr:ext cx="11534775" cy="45910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85749" y="9686925"/>
          <a:ext cx="11534775" cy="45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a:latin typeface="ＭＳ 明朝" panose="02020609040205080304" pitchFamily="17" charset="-128"/>
              <a:ea typeface="ＭＳ 明朝" panose="02020609040205080304" pitchFamily="17" charset="-128"/>
            </a:rPr>
            <a:t>備考　環境への配慮のための措置の欄を記載する場合は、</a:t>
          </a:r>
          <a:r>
            <a:rPr kumimoji="1" lang="ja-JP" altLang="en-US" sz="1100">
              <a:solidFill>
                <a:sysClr val="windowText" lastClr="000000"/>
              </a:solidFill>
              <a:latin typeface="ＭＳ 明朝" panose="02020609040205080304" pitchFamily="17" charset="-128"/>
              <a:ea typeface="ＭＳ 明朝" panose="02020609040205080304" pitchFamily="17" charset="-128"/>
            </a:rPr>
            <a:t>東京都建築物環境配慮指針</a:t>
          </a:r>
          <a:r>
            <a:rPr kumimoji="1" lang="ja-JP" altLang="en-US" sz="1100">
              <a:latin typeface="ＭＳ 明朝" panose="02020609040205080304" pitchFamily="17" charset="-128"/>
              <a:ea typeface="ＭＳ 明朝" panose="02020609040205080304" pitchFamily="17" charset="-128"/>
            </a:rPr>
            <a:t>別表第３の配慮すべき事項の欄に掲げる事項について、当該中小規模特定建築物等において講じ</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た措置の内容を細区分ごとに記載すること。</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xdr:col>
      <xdr:colOff>957942</xdr:colOff>
      <xdr:row>0</xdr:row>
      <xdr:rowOff>69273</xdr:rowOff>
    </xdr:from>
    <xdr:to>
      <xdr:col>10</xdr:col>
      <xdr:colOff>901700</xdr:colOff>
      <xdr:row>7</xdr:row>
      <xdr:rowOff>152400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366160" y="69273"/>
          <a:ext cx="6607795" cy="1468582"/>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表記入にあたっての注意点</a:t>
          </a:r>
          <a:r>
            <a:rPr kumimoji="1" lang="en-US" altLang="ja-JP" sz="1600" b="1">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600">
              <a:solidFill>
                <a:sysClr val="windowText" lastClr="000000"/>
              </a:solidFill>
              <a:latin typeface="Meiryo UI" panose="020B0604030504040204" pitchFamily="50" charset="-128"/>
              <a:ea typeface="Meiryo UI" panose="020B0604030504040204" pitchFamily="50" charset="-128"/>
            </a:rPr>
            <a:t>・集計等に影響を与える可能性があるため、上から詰めて記載してください。</a:t>
          </a:r>
          <a:endParaRPr kumimoji="1" lang="en-US" altLang="ja-JP" sz="16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600">
              <a:solidFill>
                <a:sysClr val="windowText" lastClr="000000"/>
              </a:solidFill>
              <a:latin typeface="Meiryo UI" panose="020B0604030504040204" pitchFamily="50" charset="-128"/>
              <a:ea typeface="Meiryo UI" panose="020B0604030504040204" pitchFamily="50" charset="-128"/>
            </a:rPr>
            <a:t>・項目名がオレンジ色となっているものは、建物情報管理や審査・判定等のため、告示様式から追加した項目となります。</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6</xdr:col>
      <xdr:colOff>180110</xdr:colOff>
      <xdr:row>0</xdr:row>
      <xdr:rowOff>110837</xdr:rowOff>
    </xdr:from>
    <xdr:to>
      <xdr:col>11</xdr:col>
      <xdr:colOff>262414</xdr:colOff>
      <xdr:row>7</xdr:row>
      <xdr:rowOff>166255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4544292" y="110837"/>
          <a:ext cx="6607795" cy="1468582"/>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表記入にあたっての注意点</a:t>
          </a:r>
          <a:r>
            <a:rPr kumimoji="1" lang="en-US" altLang="ja-JP" sz="1600" b="1">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600">
              <a:solidFill>
                <a:sysClr val="windowText" lastClr="000000"/>
              </a:solidFill>
              <a:latin typeface="Meiryo UI" panose="020B0604030504040204" pitchFamily="50" charset="-128"/>
              <a:ea typeface="Meiryo UI" panose="020B0604030504040204" pitchFamily="50" charset="-128"/>
            </a:rPr>
            <a:t>・集計等に影響を与える可能性があるため、上から詰めて記載してください。</a:t>
          </a:r>
          <a:endParaRPr kumimoji="1" lang="en-US" altLang="ja-JP" sz="16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600">
              <a:solidFill>
                <a:sysClr val="windowText" lastClr="000000"/>
              </a:solidFill>
              <a:latin typeface="Meiryo UI" panose="020B0604030504040204" pitchFamily="50" charset="-128"/>
              <a:ea typeface="Meiryo UI" panose="020B0604030504040204" pitchFamily="50" charset="-128"/>
            </a:rPr>
            <a:t>・項目名がオレンジ色となっているものは、建物情報管理や審査・判定等のため、告示様式から追加した項目となります。</a:t>
          </a:r>
        </a:p>
      </xdr:txBody>
    </xdr:sp>
    <xdr:clientData fPrintsWithSheet="0"/>
  </xdr:twoCellAnchor>
</xdr:wsDr>
</file>

<file path=xl/drawings/drawing7.xml><?xml version="1.0" encoding="utf-8"?>
<xdr:wsDr xmlns:xdr="http://schemas.openxmlformats.org/drawingml/2006/spreadsheetDrawing" xmlns:a="http://schemas.openxmlformats.org/drawingml/2006/main">
  <xdr:oneCellAnchor>
    <xdr:from>
      <xdr:col>1</xdr:col>
      <xdr:colOff>152401</xdr:colOff>
      <xdr:row>38</xdr:row>
      <xdr:rowOff>17899</xdr:rowOff>
    </xdr:from>
    <xdr:ext cx="9267824" cy="275717"/>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66701" y="3469759"/>
          <a:ext cx="926782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明朝" panose="02020609040205080304" pitchFamily="17" charset="-128"/>
              <a:ea typeface="ＭＳ 明朝" panose="02020609040205080304" pitchFamily="17" charset="-128"/>
            </a:rPr>
            <a:t>備考　報告対象年度において再生可能エネルギー利用設備を新設した既存建築物について記載すること。</a:t>
          </a:r>
          <a:endParaRPr lang="ja-JP" altLang="ja-JP">
            <a:effectLst/>
          </a:endParaRPr>
        </a:p>
      </xdr:txBody>
    </xdr:sp>
    <xdr:clientData/>
  </xdr:oneCellAnchor>
  <xdr:twoCellAnchor>
    <xdr:from>
      <xdr:col>7</xdr:col>
      <xdr:colOff>61576</xdr:colOff>
      <xdr:row>0</xdr:row>
      <xdr:rowOff>138547</xdr:rowOff>
    </xdr:from>
    <xdr:to>
      <xdr:col>11</xdr:col>
      <xdr:colOff>130849</xdr:colOff>
      <xdr:row>4</xdr:row>
      <xdr:rowOff>100062</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4902970" y="138547"/>
          <a:ext cx="4633576" cy="685030"/>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Meiryo UI" panose="020B0604030504040204" pitchFamily="50" charset="-128"/>
              <a:ea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rPr>
            <a:t>表記入にあたっての注意点</a:t>
          </a:r>
          <a:r>
            <a:rPr kumimoji="1" lang="en-US" altLang="ja-JP" sz="1100" b="1">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・マクロの動作等に影響を与える可能性があるため、上から詰めて記載してください。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oneCellAnchor>
    <xdr:from>
      <xdr:col>1</xdr:col>
      <xdr:colOff>66674</xdr:colOff>
      <xdr:row>30</xdr:row>
      <xdr:rowOff>141725</xdr:rowOff>
    </xdr:from>
    <xdr:ext cx="11591925" cy="45910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80974" y="6952100"/>
          <a:ext cx="11591925" cy="45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a:solidFill>
                <a:sysClr val="windowText" lastClr="000000"/>
              </a:solidFill>
              <a:latin typeface="ＭＳ 明朝" panose="02020609040205080304" pitchFamily="17" charset="-128"/>
              <a:ea typeface="ＭＳ 明朝" panose="02020609040205080304" pitchFamily="17" charset="-128"/>
            </a:rPr>
            <a:t>備考　（</a:t>
          </a:r>
          <a:r>
            <a:rPr kumimoji="1" lang="en-US" altLang="ja-JP"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a:solidFill>
                <a:sysClr val="windowText" lastClr="000000"/>
              </a:solidFill>
              <a:latin typeface="ＭＳ 明朝" panose="02020609040205080304" pitchFamily="17" charset="-128"/>
              <a:ea typeface="ＭＳ 明朝" panose="02020609040205080304" pitchFamily="17" charset="-128"/>
            </a:rPr>
            <a:t>）の欄は、当該基準に適合する場合は「適合」と、適合しない建築物がある場合は「適合しない」と、全ての建築物において当該基準が適用されない場合は「－」と記載</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すること。</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87086</xdr:colOff>
      <xdr:row>8</xdr:row>
      <xdr:rowOff>188322</xdr:rowOff>
    </xdr:from>
    <xdr:to>
      <xdr:col>2</xdr:col>
      <xdr:colOff>1011011</xdr:colOff>
      <xdr:row>32</xdr:row>
      <xdr:rowOff>174171</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87086" y="2283822"/>
          <a:ext cx="2905125" cy="4557849"/>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ja-JP" altLang="en-US" sz="1100" b="0" i="0" u="none" strike="noStrike">
              <a:solidFill>
                <a:srgbClr val="7030A0"/>
              </a:solidFill>
              <a:latin typeface="Meiryo UI" panose="020B0604030504040204" pitchFamily="34" charset="-128"/>
              <a:ea typeface="Meiryo UI" panose="020B0604030504040204" pitchFamily="34" charset="-128"/>
            </a:rPr>
            <a:t>充電設備や再エネ基準（誘導）のことも踏まえ、住宅区分は次の４つに区分し、</a:t>
          </a:r>
        </a:p>
        <a:p>
          <a:pPr marL="0" indent="0" algn="l"/>
          <a:endParaRPr lang="ja-JP" altLang="en-US" sz="1100" b="0" i="0" u="none" strike="noStrike">
            <a:solidFill>
              <a:srgbClr val="7030A0"/>
            </a:solidFill>
            <a:latin typeface="Meiryo UI" panose="020B0604030504040204" pitchFamily="34" charset="-128"/>
            <a:ea typeface="Meiryo UI" panose="020B0604030504040204" pitchFamily="34" charset="-128"/>
          </a:endParaRPr>
        </a:p>
        <a:p>
          <a:pPr marL="0" indent="0" algn="l"/>
          <a:r>
            <a:rPr lang="ja-JP" altLang="en-US" sz="1100" b="0" i="0" u="none" strike="noStrike">
              <a:solidFill>
                <a:srgbClr val="7030A0"/>
              </a:solidFill>
              <a:latin typeface="Meiryo UI" panose="020B0604030504040204" pitchFamily="34" charset="-128"/>
              <a:ea typeface="Meiryo UI" panose="020B0604030504040204" pitchFamily="34" charset="-128"/>
            </a:rPr>
            <a:t>戸建住宅（注文）</a:t>
          </a:r>
        </a:p>
        <a:p>
          <a:pPr marL="0" indent="0" algn="l"/>
          <a:r>
            <a:rPr lang="ja-JP" altLang="en-US" sz="1100" b="0" i="0" u="none" strike="noStrike">
              <a:solidFill>
                <a:srgbClr val="7030A0"/>
              </a:solidFill>
              <a:latin typeface="Meiryo UI" panose="020B0604030504040204" pitchFamily="34" charset="-128"/>
              <a:ea typeface="Meiryo UI" panose="020B0604030504040204" pitchFamily="34" charset="-128"/>
            </a:rPr>
            <a:t>戸建住宅（分譲）</a:t>
          </a:r>
        </a:p>
        <a:p>
          <a:pPr marL="0" indent="0" algn="l"/>
          <a:r>
            <a:rPr lang="ja-JP" altLang="en-US" sz="1100" b="0" i="0" u="none" strike="noStrike">
              <a:solidFill>
                <a:srgbClr val="7030A0"/>
              </a:solidFill>
              <a:latin typeface="Meiryo UI" panose="020B0604030504040204" pitchFamily="34" charset="-128"/>
              <a:ea typeface="Meiryo UI" panose="020B0604030504040204" pitchFamily="34" charset="-128"/>
            </a:rPr>
            <a:t>戸建住宅（その他）</a:t>
          </a:r>
        </a:p>
        <a:p>
          <a:pPr marL="0" indent="0" algn="l"/>
          <a:r>
            <a:rPr lang="ja-JP" altLang="en-US" sz="1100" b="0" i="0" u="none" strike="noStrike">
              <a:solidFill>
                <a:srgbClr val="7030A0"/>
              </a:solidFill>
              <a:latin typeface="Meiryo UI" panose="020B0604030504040204" pitchFamily="34" charset="-128"/>
              <a:ea typeface="Meiryo UI" panose="020B0604030504040204" pitchFamily="34" charset="-128"/>
            </a:rPr>
            <a:t>共同住宅（分譲）</a:t>
          </a:r>
        </a:p>
        <a:p>
          <a:pPr marL="0" indent="0" algn="l"/>
          <a:r>
            <a:rPr lang="ja-JP" altLang="en-US" sz="1100" b="0" i="0" u="none" strike="noStrike">
              <a:solidFill>
                <a:srgbClr val="7030A0"/>
              </a:solidFill>
              <a:latin typeface="Meiryo UI" panose="020B0604030504040204" pitchFamily="34" charset="-128"/>
              <a:ea typeface="Meiryo UI" panose="020B0604030504040204" pitchFamily="34" charset="-128"/>
            </a:rPr>
            <a:t>共同住宅（賃貸）</a:t>
          </a:r>
        </a:p>
        <a:p>
          <a:pPr marL="0" indent="0" algn="l"/>
          <a:r>
            <a:rPr lang="ja-JP" altLang="en-US" sz="1100" b="0" i="0" u="none" strike="noStrike">
              <a:solidFill>
                <a:srgbClr val="7030A0"/>
              </a:solidFill>
              <a:latin typeface="Meiryo UI" panose="020B0604030504040204" pitchFamily="34" charset="-128"/>
              <a:ea typeface="Meiryo UI" panose="020B0604030504040204" pitchFamily="34" charset="-128"/>
            </a:rPr>
            <a:t>共同住宅（その他）</a:t>
          </a:r>
        </a:p>
        <a:p>
          <a:pPr marL="0" indent="0" algn="l"/>
          <a:endParaRPr lang="ja-JP" altLang="en-US" sz="1100" b="0" i="0" u="none" strike="noStrike">
            <a:solidFill>
              <a:srgbClr val="7030A0"/>
            </a:solidFill>
            <a:latin typeface="Meiryo UI" panose="020B0604030504040204" pitchFamily="34" charset="-128"/>
            <a:ea typeface="Meiryo UI" panose="020B0604030504040204" pitchFamily="34" charset="-128"/>
          </a:endParaRPr>
        </a:p>
        <a:p>
          <a:pPr marL="0" indent="0" algn="l"/>
          <a:r>
            <a:rPr lang="ja-JP" altLang="en-US" sz="1100" b="0" i="0" u="none" strike="noStrike">
              <a:solidFill>
                <a:srgbClr val="7030A0"/>
              </a:solidFill>
              <a:latin typeface="Meiryo UI" panose="020B0604030504040204" pitchFamily="34" charset="-128"/>
              <a:ea typeface="Meiryo UI" panose="020B0604030504040204" pitchFamily="34" charset="-128"/>
            </a:rPr>
            <a:t>その上で、省エネ基準（</a:t>
          </a:r>
          <a:r>
            <a:rPr lang="en-US" sz="1100" b="0" i="0" u="none" strike="noStrike">
              <a:solidFill>
                <a:srgbClr val="7030A0"/>
              </a:solidFill>
              <a:latin typeface="Meiryo UI" panose="020B0604030504040204" pitchFamily="34" charset="-128"/>
              <a:ea typeface="Meiryo UI" panose="020B0604030504040204" pitchFamily="34" charset="-128"/>
            </a:rPr>
            <a:t>BEI）</a:t>
          </a:r>
          <a:r>
            <a:rPr lang="ja-JP" altLang="en-US" sz="1100" b="0" i="0" u="none" strike="noStrike">
              <a:solidFill>
                <a:srgbClr val="7030A0"/>
              </a:solidFill>
              <a:latin typeface="Meiryo UI" panose="020B0604030504040204" pitchFamily="34" charset="-128"/>
              <a:ea typeface="Meiryo UI" panose="020B0604030504040204" pitchFamily="34" charset="-128"/>
            </a:rPr>
            <a:t>の適合状況の判断において、国の住宅トップランナー事業者であるかどうか（その１シート）の情報を組み合わせて判断する。</a:t>
          </a:r>
        </a:p>
        <a:p>
          <a:pPr marL="0" indent="0" algn="l"/>
          <a:endParaRPr lang="ja-JP" altLang="en-US" sz="1100" b="0" i="0" u="none" strike="noStrike">
            <a:solidFill>
              <a:srgbClr val="7030A0"/>
            </a:solidFill>
            <a:latin typeface="Meiryo UI" panose="020B0604030504040204" pitchFamily="34" charset="-128"/>
            <a:ea typeface="Meiryo UI" panose="020B0604030504040204" pitchFamily="34" charset="-128"/>
          </a:endParaRPr>
        </a:p>
        <a:p>
          <a:pPr marL="0" marR="0" indent="0" algn="l">
            <a:lnSpc>
              <a:spcPct val="100000"/>
            </a:lnSpc>
            <a:spcBef>
              <a:spcPts val="0"/>
            </a:spcBef>
            <a:spcAft>
              <a:spcPts val="0"/>
            </a:spcAft>
          </a:pPr>
          <a:r>
            <a:rPr lang="ja-JP" altLang="en-US" sz="1100" b="0" i="0" u="none" strike="noStrike">
              <a:solidFill>
                <a:srgbClr val="7030A0"/>
              </a:solidFill>
              <a:latin typeface="Meiryo UI" panose="020B0604030504040204" pitchFamily="34" charset="-128"/>
              <a:ea typeface="Meiryo UI" panose="020B0604030504040204" pitchFamily="34" charset="-128"/>
            </a:rPr>
            <a:t>それぞれの住宅の「その他」はいわゆる、寄宿舎や長屋扱いの</a:t>
          </a:r>
          <a:r>
            <a:rPr lang="en-US" altLang="ja-JP" sz="1100" b="0" i="0" u="none" strike="noStrike">
              <a:solidFill>
                <a:srgbClr val="7030A0"/>
              </a:solidFill>
              <a:latin typeface="Meiryo UI" panose="020B0604030504040204" pitchFamily="34" charset="-128"/>
              <a:ea typeface="Meiryo UI" panose="020B0604030504040204" pitchFamily="34" charset="-128"/>
            </a:rPr>
            <a:t>2</a:t>
          </a:r>
          <a:r>
            <a:rPr lang="ja-JP" altLang="en-US" sz="1100" b="0" i="0" u="none" strike="noStrike">
              <a:solidFill>
                <a:srgbClr val="7030A0"/>
              </a:solidFill>
              <a:latin typeface="Meiryo UI" panose="020B0604030504040204" pitchFamily="34" charset="-128"/>
              <a:ea typeface="Meiryo UI" panose="020B0604030504040204" pitchFamily="34" charset="-128"/>
            </a:rPr>
            <a:t>世帯住宅等、いずれにも分類されない住宅を指す。（住宅トップランナーの対象とならない住宅を想定）</a:t>
          </a:r>
        </a:p>
        <a:p>
          <a:pPr marL="0" marR="0" indent="0" algn="l">
            <a:lnSpc>
              <a:spcPct val="100000"/>
            </a:lnSpc>
            <a:spcBef>
              <a:spcPts val="0"/>
            </a:spcBef>
            <a:spcAft>
              <a:spcPts val="0"/>
            </a:spcAft>
          </a:pPr>
          <a:endParaRPr lang="ja-JP" altLang="en-US" sz="1100" b="0" i="0" u="none" strike="noStrike">
            <a:solidFill>
              <a:srgbClr val="000000"/>
            </a:solidFill>
            <a:latin typeface="Meiryo UI" panose="020B0604030504040204" pitchFamily="34" charset="-128"/>
            <a:ea typeface="Meiryo UI" panose="020B0604030504040204" pitchFamily="34"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FFFF00"/>
  </sheetPr>
  <dimension ref="A2:U43"/>
  <sheetViews>
    <sheetView showGridLines="0" tabSelected="1" zoomScaleNormal="100" zoomScaleSheetLayoutView="80" workbookViewId="0">
      <selection activeCell="R2" sqref="R2"/>
    </sheetView>
  </sheetViews>
  <sheetFormatPr defaultColWidth="9" defaultRowHeight="18.75"/>
  <cols>
    <col min="1" max="1" width="4.375" customWidth="1"/>
    <col min="4" max="4" width="12.75" customWidth="1"/>
    <col min="6" max="6" width="10.625" customWidth="1"/>
    <col min="9" max="9" width="11.25" customWidth="1"/>
    <col min="11" max="11" width="11.25" customWidth="1"/>
    <col min="21" max="21" width="90.625" customWidth="1"/>
  </cols>
  <sheetData>
    <row r="2" spans="1:21" ht="33" customHeight="1">
      <c r="B2" s="189" t="s">
        <v>479</v>
      </c>
      <c r="C2" s="47"/>
      <c r="D2" s="169"/>
      <c r="E2" s="169"/>
      <c r="F2" s="169"/>
      <c r="G2" s="169"/>
      <c r="H2" s="169"/>
      <c r="I2" s="169"/>
      <c r="J2" s="169"/>
      <c r="K2" s="169"/>
      <c r="L2" s="169"/>
      <c r="M2" s="169"/>
      <c r="N2" s="47"/>
      <c r="O2" s="47"/>
      <c r="P2" s="47"/>
      <c r="Q2" s="348" t="s">
        <v>480</v>
      </c>
      <c r="R2" s="347" t="str" cm="1">
        <f t="array" ref="R2">_xlfn.XLOOKUP("?*",変更履歴!D:D&amp;"",変更履歴!D:D,,2,-1)</f>
        <v>1.0.2</v>
      </c>
      <c r="S2" s="346"/>
      <c r="T2" s="47"/>
    </row>
    <row r="3" spans="1:21" ht="24">
      <c r="B3" s="170" t="s">
        <v>449</v>
      </c>
      <c r="C3" s="171"/>
      <c r="D3" s="172"/>
      <c r="E3" s="172"/>
      <c r="F3" s="172"/>
      <c r="G3" s="172"/>
      <c r="H3" s="172"/>
      <c r="I3" s="172"/>
      <c r="J3" s="172"/>
      <c r="K3" s="172"/>
      <c r="L3" s="172"/>
      <c r="M3" s="172"/>
      <c r="N3" s="47"/>
      <c r="O3" s="47"/>
      <c r="P3" s="47"/>
      <c r="Q3" s="172"/>
      <c r="R3" s="47"/>
      <c r="S3" s="47"/>
      <c r="T3" s="47"/>
    </row>
    <row r="4" spans="1:21" ht="24">
      <c r="B4" s="47" t="s">
        <v>419</v>
      </c>
      <c r="C4" s="171"/>
      <c r="D4" s="172"/>
      <c r="E4" s="172"/>
      <c r="F4" s="172"/>
      <c r="G4" s="172"/>
      <c r="H4" s="172"/>
      <c r="I4" s="172"/>
      <c r="J4" s="172"/>
      <c r="K4" s="172"/>
      <c r="L4" s="172"/>
      <c r="M4" s="172"/>
      <c r="N4" s="47"/>
      <c r="O4" s="47"/>
      <c r="P4" s="47"/>
      <c r="Q4" s="172"/>
      <c r="R4" s="47"/>
      <c r="S4" s="47"/>
      <c r="T4" s="47"/>
    </row>
    <row r="5" spans="1:21" ht="24">
      <c r="B5" s="173" t="s">
        <v>420</v>
      </c>
      <c r="C5" s="171"/>
      <c r="D5" s="172"/>
      <c r="E5" s="172"/>
      <c r="F5" s="172"/>
      <c r="G5" s="172"/>
      <c r="H5" s="172"/>
      <c r="I5" s="172"/>
      <c r="J5" s="172"/>
      <c r="K5" s="172"/>
      <c r="L5" s="172"/>
      <c r="M5" s="172"/>
      <c r="N5" s="174"/>
      <c r="O5" s="174"/>
      <c r="P5" s="174"/>
      <c r="Q5" s="172"/>
      <c r="R5" s="47"/>
      <c r="S5" s="47"/>
      <c r="T5" s="47"/>
    </row>
    <row r="6" spans="1:21" ht="19.5">
      <c r="B6" s="175" t="s">
        <v>421</v>
      </c>
      <c r="C6" s="176"/>
      <c r="D6" s="177"/>
      <c r="E6" s="177"/>
      <c r="F6" s="177"/>
      <c r="G6" s="177"/>
      <c r="H6" s="177"/>
      <c r="I6" s="177"/>
      <c r="J6" s="178"/>
      <c r="K6" s="177"/>
      <c r="L6" s="177"/>
      <c r="M6" s="177"/>
      <c r="N6" s="177"/>
      <c r="O6" s="177"/>
      <c r="P6" s="177"/>
      <c r="Q6" s="177"/>
      <c r="R6" s="177"/>
      <c r="S6" s="177"/>
      <c r="T6" s="47"/>
    </row>
    <row r="7" spans="1:21">
      <c r="B7" s="178"/>
      <c r="C7" s="179" t="s">
        <v>422</v>
      </c>
      <c r="D7" s="178"/>
      <c r="E7" s="178"/>
      <c r="F7" s="178"/>
      <c r="G7" s="178"/>
      <c r="H7" s="178"/>
      <c r="I7" s="178"/>
      <c r="J7" s="178"/>
      <c r="K7" s="178"/>
      <c r="L7" s="178"/>
      <c r="M7" s="178"/>
      <c r="N7" s="178"/>
      <c r="O7" s="178"/>
      <c r="P7" s="178"/>
      <c r="Q7" s="178"/>
      <c r="R7" s="178"/>
      <c r="S7" s="178"/>
      <c r="T7" s="178"/>
    </row>
    <row r="8" spans="1:21" ht="19.5">
      <c r="B8" s="178"/>
      <c r="C8" s="196" t="s">
        <v>423</v>
      </c>
      <c r="D8" s="196"/>
      <c r="E8" s="196"/>
      <c r="F8" s="196"/>
      <c r="G8" s="196"/>
      <c r="H8" s="196"/>
      <c r="I8" s="196"/>
      <c r="J8" s="196"/>
      <c r="K8" s="178"/>
      <c r="L8" s="178"/>
      <c r="M8" s="178"/>
      <c r="N8" s="178"/>
      <c r="O8" s="178"/>
      <c r="P8" s="178"/>
      <c r="Q8" s="178"/>
      <c r="R8" s="178"/>
      <c r="S8" s="178"/>
      <c r="T8" s="178"/>
    </row>
    <row r="9" spans="1:21" s="47" customFormat="1">
      <c r="A9"/>
      <c r="B9" s="178"/>
      <c r="C9" s="180" t="s">
        <v>424</v>
      </c>
      <c r="D9" s="178"/>
      <c r="E9" s="178"/>
      <c r="F9" s="178"/>
      <c r="G9" s="178"/>
      <c r="H9" s="178"/>
      <c r="I9" s="178"/>
      <c r="J9" s="178"/>
      <c r="K9" s="178"/>
      <c r="L9" s="178"/>
      <c r="M9" s="178"/>
      <c r="N9" s="178"/>
      <c r="O9" s="178"/>
      <c r="P9" s="178"/>
      <c r="Q9" s="178"/>
      <c r="R9" s="178"/>
      <c r="S9" s="178"/>
      <c r="T9" s="178"/>
      <c r="U9"/>
    </row>
    <row r="10" spans="1:21" s="47" customFormat="1">
      <c r="A10"/>
      <c r="B10" s="178"/>
      <c r="C10" s="180"/>
      <c r="D10" s="178"/>
      <c r="E10" s="178"/>
      <c r="F10" s="178"/>
      <c r="G10" s="178"/>
      <c r="H10" s="178"/>
      <c r="I10" s="178"/>
      <c r="J10" s="178"/>
      <c r="K10" s="178"/>
      <c r="L10" s="178"/>
      <c r="M10" s="178"/>
      <c r="N10" s="178"/>
      <c r="O10" s="178"/>
      <c r="P10" s="178"/>
      <c r="Q10" s="178"/>
      <c r="R10" s="178"/>
      <c r="S10" s="178"/>
      <c r="T10" s="178"/>
      <c r="U10"/>
    </row>
    <row r="11" spans="1:21" s="47" customFormat="1" ht="19.5">
      <c r="A11"/>
      <c r="B11" s="175" t="s">
        <v>425</v>
      </c>
      <c r="C11" s="176"/>
      <c r="D11" s="177"/>
      <c r="E11" s="177"/>
      <c r="F11" s="177"/>
      <c r="G11" s="177"/>
      <c r="H11" s="177"/>
      <c r="I11" s="177"/>
      <c r="J11" s="178"/>
      <c r="K11" s="177"/>
      <c r="L11" s="177"/>
      <c r="M11" s="177"/>
      <c r="N11" s="177"/>
      <c r="O11" s="177"/>
      <c r="P11" s="177"/>
      <c r="Q11" s="177"/>
      <c r="R11" s="177"/>
      <c r="S11" s="177"/>
      <c r="U11"/>
    </row>
    <row r="12" spans="1:21" s="47" customFormat="1">
      <c r="A12"/>
      <c r="B12" s="178"/>
      <c r="C12" s="179" t="s">
        <v>426</v>
      </c>
      <c r="D12" s="178"/>
      <c r="E12" s="178"/>
      <c r="F12" s="178"/>
      <c r="G12" s="178"/>
      <c r="H12" s="178"/>
      <c r="I12" s="178"/>
      <c r="J12" s="178"/>
      <c r="K12" s="178"/>
      <c r="L12" s="178"/>
      <c r="M12" s="178"/>
      <c r="N12" s="178"/>
      <c r="O12" s="178"/>
      <c r="P12" s="178"/>
      <c r="Q12" s="178"/>
      <c r="R12" s="178"/>
      <c r="S12" s="178"/>
      <c r="T12" s="178"/>
      <c r="U12"/>
    </row>
    <row r="13" spans="1:21" s="47" customFormat="1" ht="19.5">
      <c r="A13"/>
      <c r="B13" s="178"/>
      <c r="C13" s="196" t="s">
        <v>427</v>
      </c>
      <c r="D13" s="196"/>
      <c r="E13" s="196"/>
      <c r="F13" s="196"/>
      <c r="G13" s="196"/>
      <c r="H13" s="196"/>
      <c r="I13" s="196"/>
      <c r="J13" s="196"/>
      <c r="K13" s="178"/>
      <c r="L13" s="178"/>
      <c r="M13" s="178"/>
      <c r="N13" s="178"/>
      <c r="O13" s="178"/>
      <c r="P13" s="178"/>
      <c r="Q13" s="178"/>
      <c r="R13" s="178"/>
      <c r="S13" s="178"/>
      <c r="T13" s="178"/>
      <c r="U13"/>
    </row>
    <row r="14" spans="1:21" s="47" customFormat="1">
      <c r="A14"/>
      <c r="B14" s="178"/>
      <c r="C14" s="180" t="s">
        <v>428</v>
      </c>
      <c r="D14" s="178"/>
      <c r="E14" s="178"/>
      <c r="F14" s="178"/>
      <c r="G14" s="178"/>
      <c r="H14" s="178"/>
      <c r="I14" s="178"/>
      <c r="J14" s="178"/>
      <c r="K14" s="178"/>
      <c r="L14" s="178"/>
      <c r="M14" s="178"/>
      <c r="N14" s="178"/>
      <c r="O14" s="178"/>
      <c r="P14" s="178"/>
      <c r="Q14" s="178"/>
      <c r="R14" s="178"/>
      <c r="S14" s="178"/>
      <c r="T14" s="178"/>
      <c r="U14"/>
    </row>
    <row r="15" spans="1:21" s="47" customFormat="1">
      <c r="A15"/>
      <c r="B15" s="178"/>
      <c r="C15" s="180"/>
      <c r="D15" s="178"/>
      <c r="E15" s="178"/>
      <c r="F15" s="178"/>
      <c r="G15" s="178"/>
      <c r="H15" s="178"/>
      <c r="I15" s="178"/>
      <c r="J15" s="178"/>
      <c r="K15" s="178"/>
      <c r="L15" s="178"/>
      <c r="M15" s="178"/>
      <c r="N15" s="178"/>
      <c r="O15" s="178"/>
      <c r="P15" s="178"/>
      <c r="Q15" s="178"/>
      <c r="R15" s="178"/>
      <c r="S15" s="178"/>
      <c r="T15" s="178"/>
      <c r="U15"/>
    </row>
    <row r="16" spans="1:21" s="47" customFormat="1" ht="19.5">
      <c r="A16"/>
      <c r="B16" s="181" t="s">
        <v>429</v>
      </c>
      <c r="C16" s="176"/>
      <c r="D16" s="178"/>
      <c r="E16" s="178"/>
      <c r="F16" s="178"/>
      <c r="G16" s="178"/>
      <c r="H16" s="178"/>
      <c r="I16" s="178"/>
      <c r="J16" s="178"/>
      <c r="K16" s="178"/>
      <c r="L16" s="178"/>
      <c r="M16" s="178"/>
      <c r="N16" s="178"/>
      <c r="O16" s="178"/>
      <c r="P16" s="178"/>
      <c r="Q16" s="178"/>
      <c r="R16" s="178"/>
      <c r="S16" s="178"/>
      <c r="T16" s="178"/>
      <c r="U16"/>
    </row>
    <row r="17" spans="1:21" s="47" customFormat="1" ht="26.25" customHeight="1">
      <c r="A17"/>
      <c r="B17" s="178"/>
      <c r="C17" s="198" t="s">
        <v>430</v>
      </c>
      <c r="D17" s="198"/>
      <c r="E17" s="198"/>
      <c r="F17" s="198"/>
      <c r="G17" s="198"/>
      <c r="H17" s="198"/>
      <c r="I17" s="198"/>
      <c r="J17" s="198"/>
      <c r="K17" s="48"/>
      <c r="L17"/>
    </row>
    <row r="18" spans="1:21" s="47" customFormat="1" ht="21">
      <c r="A18"/>
      <c r="B18" s="178"/>
      <c r="C18" s="196" t="s">
        <v>431</v>
      </c>
      <c r="D18" s="196"/>
      <c r="E18" s="196"/>
      <c r="F18" s="196"/>
      <c r="G18" s="196"/>
      <c r="H18" s="196"/>
      <c r="I18" s="196"/>
      <c r="J18" s="196"/>
      <c r="K18" s="183"/>
      <c r="L18"/>
    </row>
    <row r="19" spans="1:21" s="47" customFormat="1" ht="21">
      <c r="A19"/>
      <c r="B19" s="178"/>
      <c r="C19" s="180" t="s">
        <v>428</v>
      </c>
      <c r="K19" s="185"/>
      <c r="L19"/>
    </row>
    <row r="20" spans="1:21" s="47" customFormat="1" ht="18" customHeight="1">
      <c r="A20"/>
      <c r="B20" s="178"/>
      <c r="C20" s="197" t="s">
        <v>432</v>
      </c>
      <c r="D20" s="197"/>
      <c r="E20" s="197"/>
      <c r="F20" s="197"/>
      <c r="G20" s="197"/>
      <c r="H20" s="197"/>
      <c r="I20" s="197"/>
      <c r="J20" s="197"/>
      <c r="K20" s="48"/>
      <c r="L20"/>
    </row>
    <row r="21" spans="1:21" s="47" customFormat="1" ht="19.5">
      <c r="A21"/>
      <c r="B21" s="178"/>
      <c r="C21" s="196" t="s">
        <v>433</v>
      </c>
      <c r="D21" s="196"/>
      <c r="E21" s="196"/>
      <c r="F21" s="196"/>
      <c r="G21" s="196"/>
      <c r="H21" s="196"/>
      <c r="I21" s="196"/>
      <c r="J21" s="196"/>
      <c r="K21" s="178"/>
      <c r="L21"/>
    </row>
    <row r="22" spans="1:21" s="47" customFormat="1" ht="22.9" customHeight="1">
      <c r="A22"/>
      <c r="B22" s="178"/>
      <c r="C22" s="180" t="s">
        <v>428</v>
      </c>
      <c r="D22" s="186"/>
      <c r="E22" s="186"/>
      <c r="F22" s="186"/>
      <c r="G22" s="186"/>
      <c r="H22" s="186"/>
      <c r="I22" s="186"/>
      <c r="J22" s="186"/>
      <c r="K22" s="178"/>
      <c r="L22"/>
    </row>
    <row r="23" spans="1:21" s="47" customFormat="1" ht="18.600000000000001" customHeight="1">
      <c r="A23"/>
      <c r="B23" s="175" t="s">
        <v>434</v>
      </c>
      <c r="C23" s="176"/>
      <c r="D23" s="178"/>
      <c r="E23" s="178"/>
      <c r="F23" s="178"/>
      <c r="G23" s="178"/>
      <c r="H23" s="178"/>
      <c r="I23" s="178"/>
      <c r="J23" s="178"/>
      <c r="K23" s="178"/>
      <c r="L23" s="178"/>
      <c r="M23" s="178"/>
      <c r="N23" s="178"/>
      <c r="O23" s="178"/>
      <c r="P23" s="178"/>
      <c r="Q23" s="178"/>
      <c r="R23" s="178"/>
      <c r="S23" s="178"/>
      <c r="T23" s="178"/>
      <c r="U23"/>
    </row>
    <row r="24" spans="1:21" s="47" customFormat="1" ht="18" customHeight="1">
      <c r="A24"/>
      <c r="B24" s="178"/>
      <c r="C24" s="197" t="s">
        <v>435</v>
      </c>
      <c r="D24" s="197"/>
      <c r="E24" s="197"/>
      <c r="F24" s="197"/>
      <c r="G24" s="197"/>
      <c r="H24" s="197"/>
      <c r="I24" s="197"/>
      <c r="J24" s="197"/>
      <c r="K24" s="197"/>
      <c r="L24" s="197"/>
      <c r="M24" s="197"/>
      <c r="N24" s="197"/>
      <c r="O24" s="197"/>
      <c r="P24" s="197"/>
      <c r="Q24" s="197"/>
      <c r="R24" s="197"/>
      <c r="S24" s="178"/>
      <c r="T24" s="178"/>
      <c r="U24"/>
    </row>
    <row r="25" spans="1:21" s="47" customFormat="1" ht="21">
      <c r="A25"/>
      <c r="B25" s="178"/>
      <c r="C25" s="196" t="s">
        <v>436</v>
      </c>
      <c r="D25" s="196"/>
      <c r="E25" s="196"/>
      <c r="F25" s="196"/>
      <c r="G25" s="196"/>
      <c r="H25" s="196"/>
      <c r="I25" s="196"/>
      <c r="J25" s="196"/>
      <c r="K25" s="178"/>
      <c r="L25" s="178"/>
      <c r="M25" s="187"/>
      <c r="N25" s="180"/>
      <c r="O25" s="187"/>
      <c r="P25" s="187"/>
      <c r="Q25" s="178"/>
      <c r="R25" s="178"/>
      <c r="S25" s="178"/>
      <c r="T25" s="178"/>
      <c r="U25"/>
    </row>
    <row r="26" spans="1:21" s="47" customFormat="1" ht="22.9" customHeight="1">
      <c r="A26"/>
      <c r="B26" s="178"/>
      <c r="C26" s="180" t="s">
        <v>428</v>
      </c>
      <c r="D26" s="184"/>
      <c r="E26" s="184"/>
      <c r="F26" s="184"/>
      <c r="G26" s="184"/>
      <c r="H26" s="184"/>
      <c r="I26" s="184"/>
      <c r="J26" s="184"/>
      <c r="K26" s="184"/>
      <c r="L26" s="184"/>
      <c r="M26" s="184"/>
      <c r="N26" s="184"/>
      <c r="O26" s="184"/>
      <c r="P26" s="184"/>
      <c r="Q26" s="178"/>
      <c r="R26" s="178"/>
      <c r="S26" s="178"/>
      <c r="T26" s="178"/>
      <c r="U26"/>
    </row>
    <row r="27" spans="1:21" s="47" customFormat="1" ht="22.9" customHeight="1">
      <c r="A27"/>
      <c r="B27" s="178"/>
      <c r="C27" s="180"/>
      <c r="D27" s="184"/>
      <c r="E27" s="184"/>
      <c r="F27" s="184"/>
      <c r="G27" s="184"/>
      <c r="H27" s="184"/>
      <c r="I27" s="184"/>
      <c r="J27" s="184"/>
      <c r="K27" s="184"/>
      <c r="L27" s="184"/>
      <c r="M27" s="184"/>
      <c r="N27" s="184"/>
      <c r="O27" s="184"/>
      <c r="P27" s="184"/>
      <c r="Q27" s="178"/>
      <c r="R27" s="178"/>
      <c r="S27" s="178"/>
      <c r="T27" s="178"/>
      <c r="U27"/>
    </row>
    <row r="28" spans="1:21" s="47" customFormat="1" ht="21">
      <c r="A28"/>
      <c r="B28" s="173" t="s">
        <v>437</v>
      </c>
      <c r="C28" s="180"/>
      <c r="D28" s="184"/>
      <c r="E28" s="184"/>
      <c r="F28" s="184"/>
      <c r="G28" s="184"/>
      <c r="H28" s="184"/>
      <c r="I28" s="184"/>
      <c r="J28" s="184"/>
      <c r="K28" s="184"/>
      <c r="L28" s="184"/>
      <c r="M28" s="184"/>
      <c r="N28" s="184"/>
      <c r="O28" s="184"/>
      <c r="P28" s="184"/>
      <c r="Q28" s="178"/>
      <c r="R28" s="178"/>
      <c r="S28" s="178"/>
      <c r="T28" s="178"/>
      <c r="U28"/>
    </row>
    <row r="29" spans="1:21" s="47" customFormat="1" ht="19.5">
      <c r="A29"/>
      <c r="B29" s="175" t="s">
        <v>438</v>
      </c>
      <c r="C29" s="176"/>
      <c r="D29" s="178"/>
      <c r="E29" s="178"/>
      <c r="F29" s="178"/>
      <c r="G29" s="178"/>
      <c r="H29" s="178"/>
      <c r="I29" s="178"/>
      <c r="J29" s="178"/>
      <c r="K29" s="178"/>
      <c r="L29" s="178"/>
      <c r="M29" s="178"/>
      <c r="N29" s="178"/>
      <c r="O29" s="178"/>
      <c r="P29" s="178"/>
      <c r="Q29" s="178"/>
      <c r="R29" s="178"/>
      <c r="S29" s="178"/>
      <c r="T29" s="178"/>
      <c r="U29"/>
    </row>
    <row r="30" spans="1:21" s="47" customFormat="1" ht="18" customHeight="1">
      <c r="A30"/>
      <c r="B30" s="178"/>
      <c r="C30" s="197" t="s">
        <v>439</v>
      </c>
      <c r="D30" s="197"/>
      <c r="E30" s="197"/>
      <c r="F30" s="197"/>
      <c r="G30" s="197"/>
      <c r="H30" s="197"/>
      <c r="I30" s="197"/>
      <c r="J30" s="197"/>
      <c r="K30" s="197"/>
      <c r="L30" s="197"/>
      <c r="M30" s="197"/>
      <c r="N30" s="197"/>
      <c r="O30" s="197"/>
      <c r="P30" s="197"/>
      <c r="Q30" s="197"/>
      <c r="R30" s="197"/>
      <c r="S30" s="178"/>
      <c r="T30" s="178"/>
      <c r="U30"/>
    </row>
    <row r="31" spans="1:21" s="47" customFormat="1" ht="19.5">
      <c r="A31"/>
      <c r="B31" s="178"/>
      <c r="C31" s="196" t="s">
        <v>440</v>
      </c>
      <c r="D31" s="196"/>
      <c r="E31" s="196"/>
      <c r="F31" s="196"/>
      <c r="G31" s="196"/>
      <c r="H31" s="196"/>
      <c r="I31" s="196"/>
      <c r="J31" s="196"/>
      <c r="K31" s="182"/>
      <c r="L31" s="182"/>
      <c r="M31" s="182"/>
      <c r="N31" s="182"/>
      <c r="O31" s="182"/>
      <c r="P31" s="182"/>
      <c r="Q31" s="182"/>
      <c r="R31" s="182"/>
      <c r="S31" s="178"/>
      <c r="T31" s="178"/>
      <c r="U31"/>
    </row>
    <row r="32" spans="1:21" s="47" customFormat="1">
      <c r="A32"/>
      <c r="B32" s="178"/>
      <c r="C32" s="182"/>
      <c r="D32" s="182"/>
      <c r="E32" s="182"/>
      <c r="F32" s="182"/>
      <c r="G32" s="182"/>
      <c r="H32" s="182"/>
      <c r="I32" s="182"/>
      <c r="J32" s="182"/>
      <c r="K32" s="182"/>
      <c r="L32" s="182"/>
      <c r="M32" s="182"/>
      <c r="N32" s="182"/>
      <c r="O32" s="182"/>
      <c r="P32" s="182"/>
      <c r="Q32" s="182"/>
      <c r="R32" s="182"/>
      <c r="S32" s="178"/>
      <c r="T32" s="178"/>
      <c r="U32"/>
    </row>
    <row r="33" spans="1:21" s="47" customFormat="1" ht="19.5">
      <c r="A33"/>
      <c r="B33" s="175" t="s">
        <v>441</v>
      </c>
      <c r="C33" s="176"/>
      <c r="D33" s="178"/>
      <c r="E33" s="178"/>
      <c r="F33" s="178"/>
      <c r="G33" s="178"/>
      <c r="H33" s="178"/>
      <c r="I33" s="178"/>
      <c r="J33" s="178"/>
      <c r="K33" s="178"/>
      <c r="L33" s="178"/>
      <c r="M33" s="178"/>
      <c r="N33" s="178"/>
      <c r="O33" s="178"/>
      <c r="P33" s="178"/>
      <c r="Q33" s="178"/>
      <c r="R33" s="178"/>
      <c r="S33" s="178"/>
      <c r="T33" s="178"/>
      <c r="U33"/>
    </row>
    <row r="34" spans="1:21" s="47" customFormat="1" ht="18" customHeight="1">
      <c r="A34"/>
      <c r="B34" s="178"/>
      <c r="C34" s="197" t="s">
        <v>442</v>
      </c>
      <c r="D34" s="197"/>
      <c r="E34" s="197"/>
      <c r="F34" s="197"/>
      <c r="G34" s="197"/>
      <c r="H34" s="197"/>
      <c r="I34" s="197"/>
      <c r="J34" s="197"/>
      <c r="K34" s="197"/>
      <c r="L34" s="197"/>
      <c r="M34" s="197"/>
      <c r="N34" s="197"/>
      <c r="O34" s="197"/>
      <c r="P34" s="197"/>
      <c r="Q34" s="197"/>
      <c r="R34" s="197"/>
      <c r="S34" s="178"/>
      <c r="T34" s="178"/>
      <c r="U34"/>
    </row>
    <row r="35" spans="1:21" s="47" customFormat="1" ht="19.5">
      <c r="A35"/>
      <c r="B35" s="178"/>
      <c r="C35" s="196" t="s">
        <v>443</v>
      </c>
      <c r="D35" s="196"/>
      <c r="E35" s="196"/>
      <c r="F35" s="196"/>
      <c r="G35" s="196"/>
      <c r="H35" s="196"/>
      <c r="I35" s="196"/>
      <c r="J35" s="196"/>
      <c r="K35" s="182"/>
      <c r="L35" s="182"/>
      <c r="M35" s="182"/>
      <c r="N35" s="182"/>
      <c r="O35" s="182"/>
      <c r="P35" s="182"/>
      <c r="Q35" s="182"/>
      <c r="R35" s="182"/>
      <c r="S35" s="178"/>
      <c r="T35" s="178"/>
      <c r="U35"/>
    </row>
    <row r="36" spans="1:21" s="47" customFormat="1" ht="21">
      <c r="A36"/>
      <c r="B36" s="178"/>
      <c r="C36" s="180"/>
      <c r="D36" s="184"/>
      <c r="E36" s="184"/>
      <c r="F36" s="184"/>
      <c r="G36" s="184"/>
      <c r="H36" s="184"/>
      <c r="I36" s="184"/>
      <c r="J36" s="184"/>
      <c r="K36" s="184"/>
      <c r="L36" s="184"/>
      <c r="M36" s="184"/>
      <c r="N36" s="184"/>
      <c r="O36" s="184"/>
      <c r="P36" s="184"/>
      <c r="Q36" s="178"/>
      <c r="R36" s="178"/>
      <c r="S36" s="178"/>
      <c r="T36" s="178"/>
      <c r="U36"/>
    </row>
    <row r="37" spans="1:21" s="47" customFormat="1" ht="19.5">
      <c r="B37" s="175" t="s">
        <v>444</v>
      </c>
      <c r="C37" s="176"/>
      <c r="D37" s="178"/>
      <c r="E37" s="178"/>
      <c r="F37" s="178"/>
      <c r="G37" s="178"/>
      <c r="H37" s="178"/>
      <c r="I37" s="178"/>
      <c r="J37" s="178"/>
      <c r="K37" s="178"/>
      <c r="L37" s="178"/>
      <c r="M37" s="178"/>
      <c r="N37" s="178"/>
      <c r="O37" s="178"/>
      <c r="P37" s="178"/>
      <c r="Q37" s="178"/>
      <c r="R37" s="178"/>
      <c r="S37" s="178"/>
      <c r="T37" s="178"/>
    </row>
    <row r="38" spans="1:21" s="47" customFormat="1" ht="18" customHeight="1">
      <c r="B38" s="178"/>
      <c r="C38" s="197" t="s">
        <v>445</v>
      </c>
      <c r="D38" s="197"/>
      <c r="E38" s="197"/>
      <c r="F38" s="197"/>
      <c r="G38" s="197"/>
      <c r="H38" s="197"/>
      <c r="I38" s="197"/>
      <c r="J38" s="197"/>
      <c r="K38" s="197"/>
      <c r="L38" s="197"/>
      <c r="M38" s="197"/>
      <c r="N38" s="197"/>
      <c r="O38" s="197"/>
      <c r="P38" s="197"/>
      <c r="Q38" s="197"/>
      <c r="R38" s="197"/>
      <c r="S38" s="178"/>
      <c r="T38" s="178"/>
    </row>
    <row r="39" spans="1:21" s="47" customFormat="1" ht="19.5">
      <c r="B39" s="178"/>
      <c r="C39" s="196" t="s">
        <v>446</v>
      </c>
      <c r="D39" s="196"/>
      <c r="E39" s="196"/>
      <c r="F39" s="196"/>
      <c r="G39" s="196"/>
      <c r="H39" s="196"/>
      <c r="I39" s="196"/>
      <c r="J39" s="196"/>
      <c r="K39" s="182"/>
      <c r="L39" s="182"/>
      <c r="M39" s="182"/>
      <c r="N39" s="182"/>
      <c r="O39" s="182"/>
      <c r="P39" s="182"/>
      <c r="Q39" s="182"/>
      <c r="R39" s="182"/>
      <c r="S39" s="178"/>
      <c r="T39" s="178"/>
    </row>
    <row r="40" spans="1:21" s="47" customFormat="1" ht="21">
      <c r="B40" s="178"/>
      <c r="C40" s="180"/>
      <c r="D40" s="184"/>
      <c r="E40" s="184"/>
      <c r="F40" s="184"/>
      <c r="G40" s="184"/>
      <c r="H40" s="184"/>
      <c r="I40" s="184"/>
      <c r="J40" s="184"/>
      <c r="K40" s="184"/>
      <c r="L40" s="184"/>
      <c r="M40" s="184"/>
      <c r="N40" s="184"/>
      <c r="O40" s="184"/>
      <c r="P40" s="184"/>
      <c r="Q40" s="178"/>
      <c r="R40" s="178"/>
      <c r="S40" s="178"/>
      <c r="T40" s="178"/>
    </row>
    <row r="41" spans="1:21" s="47" customFormat="1">
      <c r="A41"/>
      <c r="B41" s="178"/>
      <c r="C41" s="178"/>
      <c r="D41" s="178"/>
      <c r="E41" s="178"/>
      <c r="F41" s="178"/>
      <c r="G41" s="178"/>
      <c r="H41" s="178"/>
      <c r="I41" s="178"/>
      <c r="J41" s="178"/>
      <c r="K41" s="178"/>
      <c r="L41" s="178"/>
      <c r="M41" s="178"/>
      <c r="N41" s="178"/>
      <c r="O41" s="178"/>
      <c r="P41" s="178"/>
      <c r="Q41" s="178"/>
      <c r="R41" s="178"/>
      <c r="S41" s="178"/>
      <c r="T41" s="178"/>
      <c r="U41"/>
    </row>
    <row r="42" spans="1:21" s="47" customFormat="1" hidden="1">
      <c r="A42"/>
      <c r="D42" s="188" t="s">
        <v>447</v>
      </c>
      <c r="E42" s="188" t="s">
        <v>448</v>
      </c>
      <c r="U42"/>
    </row>
    <row r="43" spans="1:21" s="47" customFormat="1">
      <c r="A43"/>
      <c r="U43"/>
    </row>
  </sheetData>
  <mergeCells count="14">
    <mergeCell ref="C8:J8"/>
    <mergeCell ref="C13:J13"/>
    <mergeCell ref="C35:J35"/>
    <mergeCell ref="C38:R38"/>
    <mergeCell ref="C21:J21"/>
    <mergeCell ref="C20:J20"/>
    <mergeCell ref="C18:J18"/>
    <mergeCell ref="C17:J17"/>
    <mergeCell ref="C39:J39"/>
    <mergeCell ref="C24:R24"/>
    <mergeCell ref="C25:J25"/>
    <mergeCell ref="C30:R30"/>
    <mergeCell ref="C31:J31"/>
    <mergeCell ref="C34:R34"/>
  </mergeCells>
  <phoneticPr fontId="1"/>
  <dataValidations count="1">
    <dataValidation type="list" allowBlank="1" showInputMessage="1" showErrorMessage="1" sqref="E42" xr:uid="{00000000-0002-0000-0000-000000000000}">
      <formula1>"ON,OFF"</formula1>
    </dataValidation>
  </dataValidations>
  <hyperlinks>
    <hyperlink ref="C25:J25" location="'その５既存建築物_入力シート（非公開）'!A1" display="その５既存建築物_入力シートへ" xr:uid="{00000000-0004-0000-0000-000000000000}"/>
    <hyperlink ref="C8:J8" location="'その１事業者基本情報_入力シート（一部非公開）'!A1" display="(1)事業者情報の入力・編集" xr:uid="{00000000-0004-0000-0000-000001000000}"/>
    <hyperlink ref="C13:J13" location="その３環境配慮措置!A1" display="その３環境配慮措置シートへ" xr:uid="{00000000-0004-0000-0000-000002000000}"/>
    <hyperlink ref="C31:J31" location="その２基準適合状況!A1" display="その２基準適合状況へ" xr:uid="{00000000-0004-0000-0000-000003000000}"/>
    <hyperlink ref="C35:J35" location="'その６再エネ基準量_（非公開）'!A1" display="その６再エネ基準量へ" xr:uid="{00000000-0004-0000-0000-000004000000}"/>
    <hyperlink ref="C39:J39" location="'その１事業者基本情報_入力シート（一部非公開）'!A25" display="その１事業者基本情報へ" xr:uid="{00000000-0004-0000-0000-000005000000}"/>
    <hyperlink ref="C21:J21" location="'その４建物別情報（非住宅）_入力シート（非公開）'!A1" display="その４建物別情報（非住宅）_入力シートへ" xr:uid="{00000000-0004-0000-0000-000006000000}"/>
    <hyperlink ref="C21:I21" location="'画4_事業所等詳細（充填・回収情報の詳細）の入力'!A1" display="充塡・回収情報入力、取込み" xr:uid="{00000000-0004-0000-0000-000007000000}"/>
    <hyperlink ref="C18:J18" location="'その４建物別情報（住宅）_入力シート（非公開）'!A1" display="その４建物別情報（住宅）_入力シートへ" xr:uid="{00000000-0004-0000-0000-000008000000}"/>
    <hyperlink ref="C18:I18" location="'画4_事業所等詳細（充填・回収情報の詳細）の入力'!A1" display="充塡・回収情報入力、取込み" xr:uid="{00000000-0004-0000-0000-000009000000}"/>
  </hyperlinks>
  <pageMargins left="0.7" right="0.7" top="0.75" bottom="0.75" header="0.3" footer="0.3"/>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theme="0" tint="-0.14999847407452621"/>
  </sheetPr>
  <dimension ref="B1:H16"/>
  <sheetViews>
    <sheetView showGridLines="0" zoomScale="85" zoomScaleNormal="85" workbookViewId="0">
      <selection activeCell="G12" sqref="G12"/>
    </sheetView>
  </sheetViews>
  <sheetFormatPr defaultRowHeight="18.75"/>
  <cols>
    <col min="1" max="1" width="2.375" bestFit="1" customWidth="1"/>
    <col min="2" max="2" width="4.5" customWidth="1"/>
    <col min="3" max="4" width="11.25" bestFit="1" customWidth="1"/>
    <col min="5" max="5" width="31" style="59" customWidth="1"/>
    <col min="6" max="6" width="15" style="59" customWidth="1"/>
    <col min="7" max="7" width="63.5" style="59" customWidth="1"/>
    <col min="8" max="8" width="74.25" customWidth="1"/>
  </cols>
  <sheetData>
    <row r="1" spans="2:8">
      <c r="B1" s="190" t="s">
        <v>151</v>
      </c>
    </row>
    <row r="2" spans="2:8">
      <c r="B2" s="57" t="s">
        <v>152</v>
      </c>
      <c r="C2" s="57" t="s">
        <v>153</v>
      </c>
      <c r="D2" s="57" t="s">
        <v>399</v>
      </c>
      <c r="E2" s="60" t="s">
        <v>401</v>
      </c>
      <c r="F2" s="60" t="s">
        <v>155</v>
      </c>
      <c r="G2" s="60" t="s">
        <v>453</v>
      </c>
      <c r="H2" s="57" t="s">
        <v>154</v>
      </c>
    </row>
    <row r="3" spans="2:8">
      <c r="B3" s="45">
        <f>IF(COUNTA(C3:H3)&lt;&gt;0,ROW()-2,"")</f>
        <v>1</v>
      </c>
      <c r="C3" s="58">
        <v>45625</v>
      </c>
      <c r="D3" s="45" t="s">
        <v>400</v>
      </c>
      <c r="E3" s="46"/>
      <c r="F3" s="46" t="s">
        <v>402</v>
      </c>
      <c r="G3" s="46"/>
      <c r="H3" s="45"/>
    </row>
    <row r="4" spans="2:8" ht="75.75">
      <c r="B4" s="199">
        <v>2</v>
      </c>
      <c r="C4" s="202">
        <v>45698</v>
      </c>
      <c r="D4" s="205" t="s">
        <v>450</v>
      </c>
      <c r="E4" s="46" t="s">
        <v>451</v>
      </c>
      <c r="F4" s="46" t="s">
        <v>452</v>
      </c>
      <c r="G4" s="194" t="s">
        <v>466</v>
      </c>
      <c r="H4" s="194" t="s">
        <v>454</v>
      </c>
    </row>
    <row r="5" spans="2:8" ht="37.5">
      <c r="B5" s="200"/>
      <c r="C5" s="203"/>
      <c r="D5" s="206"/>
      <c r="E5" s="46" t="s">
        <v>460</v>
      </c>
      <c r="F5" s="46" t="s">
        <v>452</v>
      </c>
      <c r="G5" s="46" t="s">
        <v>467</v>
      </c>
      <c r="H5" s="45"/>
    </row>
    <row r="6" spans="2:8" ht="93.75">
      <c r="B6" s="201"/>
      <c r="C6" s="204"/>
      <c r="D6" s="207"/>
      <c r="E6" s="46" t="s">
        <v>461</v>
      </c>
      <c r="F6" s="46" t="s">
        <v>455</v>
      </c>
      <c r="G6" s="46" t="s">
        <v>468</v>
      </c>
      <c r="H6" s="45"/>
    </row>
    <row r="7" spans="2:8" ht="75">
      <c r="B7" s="208">
        <v>3</v>
      </c>
      <c r="C7" s="211">
        <v>45716</v>
      </c>
      <c r="D7" s="214" t="s">
        <v>462</v>
      </c>
      <c r="E7" s="192" t="s">
        <v>463</v>
      </c>
      <c r="F7" s="192" t="s">
        <v>464</v>
      </c>
      <c r="G7" s="192" t="s">
        <v>465</v>
      </c>
      <c r="H7" s="193" t="s">
        <v>469</v>
      </c>
    </row>
    <row r="8" spans="2:8" ht="56.25">
      <c r="B8" s="209"/>
      <c r="C8" s="212"/>
      <c r="D8" s="215"/>
      <c r="E8" s="192" t="s">
        <v>460</v>
      </c>
      <c r="F8" s="192" t="s">
        <v>464</v>
      </c>
      <c r="G8" s="192" t="s">
        <v>470</v>
      </c>
      <c r="H8" s="193"/>
    </row>
    <row r="9" spans="2:8" ht="37.5">
      <c r="B9" s="209"/>
      <c r="C9" s="212"/>
      <c r="D9" s="215"/>
      <c r="E9" s="192" t="s">
        <v>460</v>
      </c>
      <c r="F9" s="192" t="s">
        <v>464</v>
      </c>
      <c r="G9" s="192" t="s">
        <v>471</v>
      </c>
      <c r="H9" s="193"/>
    </row>
    <row r="10" spans="2:8" ht="75">
      <c r="B10" s="209"/>
      <c r="C10" s="212"/>
      <c r="D10" s="215"/>
      <c r="E10" s="192" t="s">
        <v>473</v>
      </c>
      <c r="F10" s="192" t="s">
        <v>474</v>
      </c>
      <c r="G10" s="192" t="s">
        <v>477</v>
      </c>
      <c r="H10" s="192" t="s">
        <v>476</v>
      </c>
    </row>
    <row r="11" spans="2:8" ht="37.5">
      <c r="B11" s="210"/>
      <c r="C11" s="213"/>
      <c r="D11" s="216"/>
      <c r="E11" s="192" t="s">
        <v>473</v>
      </c>
      <c r="F11" s="192" t="s">
        <v>474</v>
      </c>
      <c r="G11" s="192" t="s">
        <v>478</v>
      </c>
      <c r="H11" s="193" t="s">
        <v>475</v>
      </c>
    </row>
    <row r="12" spans="2:8">
      <c r="B12" s="45" t="str">
        <f t="shared" ref="B11:B16" si="0">IF(COUNTA(C12:H12)&lt;&gt;0,ROW()-2,"")</f>
        <v/>
      </c>
      <c r="C12" s="58"/>
      <c r="D12" s="45"/>
      <c r="E12" s="46"/>
      <c r="F12" s="46"/>
      <c r="G12" s="46"/>
      <c r="H12" s="45"/>
    </row>
    <row r="13" spans="2:8">
      <c r="B13" s="45" t="str">
        <f t="shared" si="0"/>
        <v/>
      </c>
      <c r="C13" s="58"/>
      <c r="D13" s="45"/>
      <c r="E13" s="46"/>
      <c r="F13" s="46"/>
      <c r="G13" s="46"/>
      <c r="H13" s="45"/>
    </row>
    <row r="14" spans="2:8">
      <c r="B14" s="45" t="str">
        <f t="shared" si="0"/>
        <v/>
      </c>
      <c r="C14" s="58"/>
      <c r="D14" s="45"/>
      <c r="E14" s="46"/>
      <c r="F14" s="46"/>
      <c r="G14" s="46"/>
      <c r="H14" s="45"/>
    </row>
    <row r="15" spans="2:8">
      <c r="B15" s="45" t="str">
        <f t="shared" si="0"/>
        <v/>
      </c>
      <c r="C15" s="58"/>
      <c r="D15" s="46"/>
      <c r="E15" s="46"/>
      <c r="F15" s="46"/>
      <c r="G15" s="46"/>
      <c r="H15" s="45"/>
    </row>
    <row r="16" spans="2:8">
      <c r="B16" s="45" t="str">
        <f t="shared" si="0"/>
        <v/>
      </c>
      <c r="C16" s="58"/>
      <c r="D16" s="46"/>
      <c r="E16" s="46"/>
      <c r="F16" s="46"/>
      <c r="G16" s="46"/>
      <c r="H16" s="45"/>
    </row>
  </sheetData>
  <mergeCells count="6">
    <mergeCell ref="B4:B6"/>
    <mergeCell ref="C4:C6"/>
    <mergeCell ref="D4:D6"/>
    <mergeCell ref="B7:B11"/>
    <mergeCell ref="C7:C11"/>
    <mergeCell ref="D7:D11"/>
  </mergeCells>
  <phoneticPr fontId="1"/>
  <pageMargins left="0.7" right="0.7" top="0.75" bottom="0.75" header="0.3" footer="0.3"/>
  <pageSetup paperSize="9" scale="5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4" tint="0.59999389629810485"/>
  </sheetPr>
  <dimension ref="A1:Y46"/>
  <sheetViews>
    <sheetView topLeftCell="A8" zoomScale="70" zoomScaleNormal="70" zoomScaleSheetLayoutView="70" workbookViewId="0">
      <selection activeCell="U26" sqref="U26"/>
    </sheetView>
  </sheetViews>
  <sheetFormatPr defaultColWidth="9" defaultRowHeight="13.5"/>
  <cols>
    <col min="1" max="1" width="2.75" style="1" customWidth="1"/>
    <col min="2" max="2" width="1.625" style="1" customWidth="1"/>
    <col min="3" max="3" width="1.875" style="1" customWidth="1"/>
    <col min="4" max="4" width="18" style="1" customWidth="1"/>
    <col min="5" max="5" width="9.5" style="1" customWidth="1"/>
    <col min="6" max="6" width="17" style="1" customWidth="1"/>
    <col min="7" max="7" width="18.75" style="1" customWidth="1"/>
    <col min="8" max="8" width="15.375" style="1" customWidth="1"/>
    <col min="9" max="9" width="14.125" style="1" customWidth="1"/>
    <col min="10" max="10" width="1.5" style="1" customWidth="1"/>
    <col min="11" max="11" width="2.75" style="1" customWidth="1"/>
    <col min="12" max="12" width="4.375" style="1" customWidth="1"/>
    <col min="13" max="13" width="9.75" style="1" hidden="1" customWidth="1"/>
    <col min="14" max="14" width="15.25" style="1" hidden="1" customWidth="1"/>
    <col min="15" max="15" width="14.375" style="1" hidden="1" customWidth="1"/>
    <col min="16" max="17" width="9" style="1"/>
    <col min="18" max="18" width="9" style="1" customWidth="1"/>
    <col min="19" max="20" width="11.25" style="1" customWidth="1"/>
    <col min="21" max="21" width="7.25" style="1" customWidth="1"/>
    <col min="22" max="22" width="11.25" style="1" customWidth="1"/>
    <col min="23" max="23" width="5.375" style="1" customWidth="1"/>
    <col min="24" max="24" width="11.25" style="1" customWidth="1"/>
    <col min="25" max="25" width="5.375" style="1" customWidth="1"/>
    <col min="26" max="16384" width="9" style="1"/>
  </cols>
  <sheetData>
    <row r="1" spans="1:23" ht="15.75" customHeight="1">
      <c r="A1" s="36" t="s">
        <v>0</v>
      </c>
      <c r="N1" s="11"/>
      <c r="O1" s="11"/>
      <c r="P1" s="125"/>
    </row>
    <row r="2" spans="1:23" ht="15.75" customHeight="1">
      <c r="B2" s="14"/>
      <c r="C2" s="15"/>
      <c r="D2" s="15"/>
      <c r="E2" s="15"/>
      <c r="F2" s="15"/>
      <c r="G2" s="15"/>
      <c r="H2" s="15"/>
      <c r="I2" s="15"/>
      <c r="J2" s="16"/>
      <c r="N2" s="125" t="str">
        <f>IF(N3="","",N3&amp;CHAR(10))&amp;IF(O2="","",O2&amp;CHAR(10))&amp;IF(P2="","",P2&amp;CHAR(10))&amp;IF(Q2="","",Q2&amp;CHAR(10))&amp;IF(R2="","",R2&amp;CHAR(10))&amp;IF(S2="","",S2&amp;CHAR(10))&amp;IF(T2="","",T2&amp;CHAR(10))
&amp;IF(U2="","",U2&amp;CHAR(10))&amp;IF(V2="","",V2&amp;CHAR(10))&amp;IF(W2="","",W2&amp;CHAR(10))&amp;IF(X2="","",X2&amp;CHAR(10))&amp;IF(Y2="","",Y2&amp;CHAR(10))&amp;IF(Z2="","",Z2&amp;CHAR(10))&amp;IF(AB2="","",AB2&amp;CHAR(10))
&amp;IF(AA2="","",AA2&amp;CHAR(10))</f>
        <v xml:space="preserve">未入力が6件あります
</v>
      </c>
      <c r="O2" s="125" t="str">
        <f>IF(O3&lt;&gt;0,"小数桁数エラーが"&amp;O3&amp;"件あります","")</f>
        <v/>
      </c>
      <c r="P2" s="125" t="str">
        <f>IF(P3&lt;&gt;0,P10&amp;"に小数桁数エラーが"&amp;P3&amp;"件あります","")</f>
        <v/>
      </c>
    </row>
    <row r="3" spans="1:23" ht="23.25" customHeight="1">
      <c r="B3" s="229" t="s">
        <v>1</v>
      </c>
      <c r="C3" s="230"/>
      <c r="D3" s="230"/>
      <c r="E3" s="230"/>
      <c r="F3" s="230"/>
      <c r="G3" s="230"/>
      <c r="H3" s="230"/>
      <c r="I3" s="230"/>
      <c r="J3" s="18"/>
      <c r="M3" s="55"/>
      <c r="N3" s="125" t="str">
        <f>IF(N4&lt;&gt;0,"未入力が"&amp;N4&amp;"件あります","")</f>
        <v>未入力が6件あります</v>
      </c>
      <c r="O3" s="125">
        <f>COUNTIF(O23,"*エラー*")</f>
        <v>0</v>
      </c>
      <c r="P3" s="125">
        <f>COUNTIF(P11:P25,"*エラー*")</f>
        <v>0</v>
      </c>
    </row>
    <row r="4" spans="1:23" ht="9" customHeight="1">
      <c r="B4" s="17"/>
      <c r="J4" s="18"/>
      <c r="N4" s="125">
        <f>COUNTIF(N7:N23,"*エラー*")</f>
        <v>6</v>
      </c>
      <c r="O4" s="125"/>
      <c r="P4" s="11"/>
    </row>
    <row r="5" spans="1:23" ht="18" customHeight="1">
      <c r="B5" s="17"/>
      <c r="C5" s="1" t="s">
        <v>2</v>
      </c>
      <c r="J5" s="18"/>
      <c r="M5" s="55" t="s">
        <v>330</v>
      </c>
      <c r="N5" s="55" t="s">
        <v>319</v>
      </c>
      <c r="O5" s="55" t="s">
        <v>331</v>
      </c>
      <c r="P5" s="55"/>
    </row>
    <row r="6" spans="1:23" ht="18" customHeight="1">
      <c r="B6" s="17"/>
      <c r="D6" s="256" t="s">
        <v>3</v>
      </c>
      <c r="E6" s="226" t="s">
        <v>4</v>
      </c>
      <c r="F6" s="227"/>
      <c r="G6" s="227"/>
      <c r="H6" s="227"/>
      <c r="I6" s="228"/>
      <c r="J6" s="18"/>
    </row>
    <row r="7" spans="1:23" ht="18" customHeight="1">
      <c r="B7" s="17"/>
      <c r="D7" s="257"/>
      <c r="E7" s="217"/>
      <c r="F7" s="218"/>
      <c r="G7" s="218"/>
      <c r="H7" s="218"/>
      <c r="I7" s="219"/>
      <c r="J7" s="18"/>
      <c r="M7" s="86" t="s">
        <v>283</v>
      </c>
      <c r="N7" s="49" t="str">
        <f>IF(E7="","（エラー）未入力","（正常）入力済み")</f>
        <v>（エラー）未入力</v>
      </c>
    </row>
    <row r="8" spans="1:23" ht="18" customHeight="1">
      <c r="B8" s="17"/>
      <c r="D8" s="257"/>
      <c r="E8" s="226" t="s">
        <v>5</v>
      </c>
      <c r="F8" s="227"/>
      <c r="G8" s="227"/>
      <c r="H8" s="227"/>
      <c r="I8" s="228"/>
      <c r="J8" s="18"/>
    </row>
    <row r="9" spans="1:23" ht="18" customHeight="1">
      <c r="B9" s="17"/>
      <c r="D9" s="258"/>
      <c r="E9" s="217"/>
      <c r="F9" s="218"/>
      <c r="G9" s="218"/>
      <c r="H9" s="218"/>
      <c r="I9" s="219"/>
      <c r="J9" s="18"/>
      <c r="M9" s="86" t="s">
        <v>283</v>
      </c>
      <c r="N9" s="49" t="str">
        <f>IF(E9="","（エラー）未入力","（正常）入力済み")</f>
        <v>（エラー）未入力</v>
      </c>
    </row>
    <row r="10" spans="1:23" ht="18" customHeight="1">
      <c r="B10" s="17"/>
      <c r="D10" s="256" t="s">
        <v>6</v>
      </c>
      <c r="E10" s="226" t="s">
        <v>4</v>
      </c>
      <c r="F10" s="227"/>
      <c r="G10" s="227"/>
      <c r="H10" s="227"/>
      <c r="I10" s="228"/>
      <c r="J10" s="18"/>
    </row>
    <row r="11" spans="1:23" ht="18" customHeight="1">
      <c r="B11" s="17"/>
      <c r="D11" s="257"/>
      <c r="E11" s="220"/>
      <c r="F11" s="221"/>
      <c r="G11" s="221"/>
      <c r="H11" s="221"/>
      <c r="I11" s="222"/>
      <c r="J11" s="18"/>
      <c r="M11" s="49" t="s">
        <v>281</v>
      </c>
    </row>
    <row r="12" spans="1:23" ht="18" customHeight="1">
      <c r="B12" s="17"/>
      <c r="D12" s="257"/>
      <c r="E12" s="226" t="s">
        <v>5</v>
      </c>
      <c r="F12" s="227"/>
      <c r="G12" s="227"/>
      <c r="H12" s="227"/>
      <c r="I12" s="228"/>
      <c r="J12" s="18"/>
    </row>
    <row r="13" spans="1:23" ht="18" customHeight="1">
      <c r="B13" s="17"/>
      <c r="D13" s="258"/>
      <c r="E13" s="220"/>
      <c r="F13" s="221"/>
      <c r="G13" s="221"/>
      <c r="H13" s="221"/>
      <c r="I13" s="222"/>
      <c r="J13" s="18"/>
      <c r="M13" s="49" t="s">
        <v>281</v>
      </c>
    </row>
    <row r="14" spans="1:23" ht="18" customHeight="1">
      <c r="B14" s="17"/>
      <c r="D14" s="254" t="s">
        <v>7</v>
      </c>
      <c r="E14" s="2" t="s">
        <v>8</v>
      </c>
      <c r="F14" s="223"/>
      <c r="G14" s="224"/>
      <c r="H14" s="224"/>
      <c r="I14" s="225"/>
      <c r="J14" s="18"/>
      <c r="M14" s="52" t="s">
        <v>283</v>
      </c>
      <c r="N14" s="49" t="str">
        <f>IF(F14="","（エラー）未入力","（正常）入力済み")</f>
        <v>（エラー）未入力</v>
      </c>
    </row>
    <row r="15" spans="1:23" ht="18" customHeight="1">
      <c r="B15" s="17"/>
      <c r="D15" s="255"/>
      <c r="E15" s="2" t="s">
        <v>9</v>
      </c>
      <c r="F15" s="223"/>
      <c r="G15" s="224"/>
      <c r="H15" s="224"/>
      <c r="I15" s="225"/>
      <c r="J15" s="18"/>
      <c r="M15" s="52" t="s">
        <v>283</v>
      </c>
      <c r="N15" s="49" t="str">
        <f>IF(F15="","（エラー）未入力","（正常）入力済み")</f>
        <v>（エラー）未入力</v>
      </c>
    </row>
    <row r="16" spans="1:23" ht="51.6" customHeight="1">
      <c r="B16" s="17"/>
      <c r="D16" s="232" t="s">
        <v>10</v>
      </c>
      <c r="E16" s="232"/>
      <c r="F16" s="233" t="s">
        <v>285</v>
      </c>
      <c r="G16" s="234"/>
      <c r="H16" s="234"/>
      <c r="I16" s="235"/>
      <c r="J16" s="18"/>
      <c r="L16" s="11"/>
      <c r="M16" s="52" t="s">
        <v>283</v>
      </c>
      <c r="N16" s="49" t="str">
        <f>IF(NOT(OR(S16,U16,W16)),"（エラー）未入力","（正常）入力済み")</f>
        <v>（正常）入力済み</v>
      </c>
      <c r="R16" s="95" t="s">
        <v>286</v>
      </c>
      <c r="S16" s="135" t="b">
        <v>0</v>
      </c>
      <c r="T16" s="95" t="s">
        <v>287</v>
      </c>
      <c r="U16" s="135" t="b">
        <v>1</v>
      </c>
      <c r="V16" s="95" t="s">
        <v>288</v>
      </c>
      <c r="W16" s="135" t="b">
        <v>1</v>
      </c>
    </row>
    <row r="17" spans="2:25" ht="51.6" customHeight="1">
      <c r="B17" s="17"/>
      <c r="D17" s="232" t="s">
        <v>11</v>
      </c>
      <c r="E17" s="232"/>
      <c r="F17" s="233" t="s">
        <v>289</v>
      </c>
      <c r="G17" s="234"/>
      <c r="H17" s="234"/>
      <c r="I17" s="235"/>
      <c r="J17" s="18"/>
      <c r="M17" s="52" t="s">
        <v>283</v>
      </c>
      <c r="N17" s="49" t="str">
        <f>IF(T17="選択無","（エラー）未入力","（正常）入力済み")</f>
        <v>（正常）入力済み</v>
      </c>
      <c r="R17" s="95" t="s">
        <v>290</v>
      </c>
      <c r="S17" s="136">
        <v>1</v>
      </c>
      <c r="T17" s="74" t="str">
        <f>IF(S17=0, "選択無", IF(S17=1, "特定供給", IF(S17=2, "任意参加", IF(S17=3, "任意提出", "無効な入力"))))</f>
        <v>特定供給</v>
      </c>
      <c r="V17" s="10"/>
    </row>
    <row r="18" spans="2:25" ht="18" customHeight="1">
      <c r="B18" s="17"/>
      <c r="C18" s="1" t="s">
        <v>12</v>
      </c>
      <c r="D18" s="25"/>
      <c r="E18" s="22"/>
      <c r="F18" s="13"/>
      <c r="G18" s="13"/>
      <c r="H18" s="13"/>
      <c r="I18" s="13"/>
      <c r="J18" s="18"/>
    </row>
    <row r="19" spans="2:25" ht="18" customHeight="1">
      <c r="B19" s="17"/>
      <c r="D19" s="236" t="s">
        <v>13</v>
      </c>
      <c r="E19" s="237"/>
      <c r="F19" s="238"/>
      <c r="G19" s="2" t="s">
        <v>14</v>
      </c>
      <c r="H19" s="248">
        <f ca="1">(SUMPRODUCT(--(('その４建物別情報（住宅）_入力シート（非公開）'!$C$11:$C$2086&lt;&gt;"")))-1)
+(SUMPRODUCT(--(('その４建物別情報（非住宅）_入力シート（非公開）'!$C$12:$C$2020&lt;&gt;"")
                                  *('その４建物別情報（非住宅）_入力シート（非公開）'!$BD$12:$BD$2020="")))-1)</f>
        <v>2</v>
      </c>
      <c r="I19" s="249"/>
      <c r="J19" s="18"/>
      <c r="M19" s="49" t="s">
        <v>291</v>
      </c>
    </row>
    <row r="20" spans="2:25" ht="18" customHeight="1">
      <c r="B20" s="17"/>
      <c r="D20" s="239"/>
      <c r="E20" s="240"/>
      <c r="F20" s="241"/>
      <c r="G20" s="2" t="s">
        <v>353</v>
      </c>
      <c r="H20" s="250">
        <f>ROUNDUP(SUM('その４建物別情報（住宅）_入力シート（非公開）'!$I$11:$I$2086)
                   +SUMIFS('その４建物別情報（非住宅）_入力シート（非公開）'!$J$12:$J$2020,
                                     'その４建物別情報（非住宅）_入力シート（非公開）'!$BD$12:$BD2020,""), 2)</f>
        <v>50</v>
      </c>
      <c r="I20" s="251"/>
      <c r="J20" s="18"/>
      <c r="M20" s="85" t="s">
        <v>292</v>
      </c>
    </row>
    <row r="21" spans="2:25" ht="18" customHeight="1">
      <c r="B21" s="17"/>
      <c r="C21" s="1" t="s">
        <v>15</v>
      </c>
      <c r="D21" s="37"/>
      <c r="E21" s="37"/>
      <c r="F21" s="37"/>
      <c r="G21" s="22"/>
      <c r="H21" s="28"/>
      <c r="I21" s="28"/>
      <c r="J21" s="18"/>
    </row>
    <row r="22" spans="2:25" ht="18" customHeight="1">
      <c r="B22" s="17"/>
      <c r="D22" s="242" t="s">
        <v>16</v>
      </c>
      <c r="E22" s="243"/>
      <c r="F22" s="244"/>
      <c r="G22" s="2" t="s">
        <v>14</v>
      </c>
      <c r="H22" s="252"/>
      <c r="I22" s="253"/>
      <c r="J22" s="18"/>
      <c r="M22" s="86" t="s">
        <v>283</v>
      </c>
      <c r="N22" s="49" t="str">
        <f>IF(H22="","（エラー）未入力","（正常）入力済み")</f>
        <v>（エラー）未入力</v>
      </c>
    </row>
    <row r="23" spans="2:25" ht="18" customHeight="1">
      <c r="B23" s="17"/>
      <c r="D23" s="245"/>
      <c r="E23" s="246"/>
      <c r="F23" s="247"/>
      <c r="G23" s="2" t="s">
        <v>353</v>
      </c>
      <c r="H23" s="259"/>
      <c r="I23" s="260"/>
      <c r="J23" s="18"/>
      <c r="M23" s="87" t="s">
        <v>284</v>
      </c>
      <c r="N23" s="49" t="str">
        <f>IF(H23="","（エラー）未入力","（正常）入力済み")</f>
        <v>（エラー）未入力</v>
      </c>
      <c r="O23" s="49" t="str">
        <f>IF(H23="","未入力",
        IF(LEN(
                      MID($H$23,FIND(".",$H$23&amp;".")+1,LEN($H$23))
                     )&gt;2,"（エラー）小数第3位以下切り上げ要","（正常）規定内の桁数"))</f>
        <v>未入力</v>
      </c>
    </row>
    <row r="24" spans="2:25" ht="7.5" customHeight="1">
      <c r="B24" s="17"/>
      <c r="D24" s="9"/>
      <c r="E24" s="9"/>
      <c r="F24" s="9"/>
      <c r="G24" s="9"/>
      <c r="H24" s="9"/>
      <c r="I24" s="9"/>
      <c r="J24" s="18"/>
    </row>
    <row r="25" spans="2:25" ht="18" customHeight="1">
      <c r="B25" s="17"/>
      <c r="C25" s="1" t="s">
        <v>17</v>
      </c>
      <c r="D25" s="9"/>
      <c r="E25" s="9"/>
      <c r="F25" s="9"/>
      <c r="G25" s="9"/>
      <c r="H25" s="9"/>
      <c r="I25" s="9"/>
      <c r="J25" s="18"/>
      <c r="R25" s="3" t="s">
        <v>323</v>
      </c>
      <c r="S25" s="79" t="s">
        <v>308</v>
      </c>
      <c r="T25" s="109" t="s">
        <v>317</v>
      </c>
      <c r="U25" s="96" t="s">
        <v>321</v>
      </c>
    </row>
    <row r="26" spans="2:25" ht="26.25" customHeight="1">
      <c r="B26" s="17"/>
      <c r="D26" s="231" t="str">
        <f ca="1">IF($S26 = $S$25, "[〇適合する・適合しない]",
        IF($S26 = $T$25, "[適合する・〇適合しない]", "[適合する・適合しない]"))</f>
        <v>[〇適合する・適合しない]</v>
      </c>
      <c r="E26" s="231"/>
      <c r="F26" s="231"/>
      <c r="G26" s="231"/>
      <c r="H26" s="231"/>
      <c r="I26" s="231"/>
      <c r="J26" s="18"/>
      <c r="M26" s="85" t="s">
        <v>291</v>
      </c>
      <c r="R26" s="79" t="s">
        <v>322</v>
      </c>
      <c r="S26" s="96" t="str">
        <f ca="1">IF($W26&gt;=1,$T$25,IF(AND(U26&gt;=1, ($U26+$Y26)=12),$S$25,""))</f>
        <v>適合</v>
      </c>
      <c r="T26" s="79" t="s">
        <v>324</v>
      </c>
      <c r="U26" s="96">
        <f ca="1">SUM(COUNTIF(その２基準適合状況!$F$8:$F$11,その２基準適合状況!$N$7),COUNTIF(その２基準適合状況!$I$8:$I$11,その２基準適合状況!$N$7),
COUNTIF(その２基準適合状況!$F$16:$F$17,その２基準適合状況!$N$7),COUNTIF(その２基準適合状況!$I$16:$I$17,その２基準適合状況!$N$7))</f>
        <v>4</v>
      </c>
      <c r="V26" s="79" t="s">
        <v>325</v>
      </c>
      <c r="W26" s="96">
        <f ca="1">SUM(COUNTIF(その２基準適合状況!$F$8:$F$11,その２基準適合状況!$O$7),COUNTIF(その２基準適合状況!$I$8:$I$11,その２基準適合状況!$O$7),
COUNTIF(その２基準適合状況!$F$16:$F$17,その２基準適合状況!$O$7),COUNTIF(その２基準適合状況!$I$16:$I$17,その２基準適合状況!$O$7))</f>
        <v>0</v>
      </c>
      <c r="X26" s="79" t="s">
        <v>326</v>
      </c>
      <c r="Y26" s="96">
        <f ca="1">SUM(COUNTIF(その２基準適合状況!$F$8:$F$11,その２基準適合状況!$P$7),COUNTIF(その２基準適合状況!$I$8:$I$11,その２基準適合状況!$P$7),
COUNTIF(その２基準適合状況!$F$16:$F$17,その２基準適合状況!$P$7),COUNTIF(その２基準適合状況!$I$16:$I$17,その２基準適合状況!$P$7))</f>
        <v>8</v>
      </c>
    </row>
    <row r="27" spans="2:25" ht="18" customHeight="1">
      <c r="B27" s="17"/>
      <c r="C27" s="1" t="s">
        <v>18</v>
      </c>
      <c r="D27" s="43"/>
      <c r="E27" s="43"/>
      <c r="F27" s="43"/>
      <c r="G27" s="43"/>
      <c r="H27" s="43"/>
      <c r="I27" s="43"/>
      <c r="J27" s="18"/>
    </row>
    <row r="28" spans="2:25" ht="26.25" customHeight="1">
      <c r="B28" s="17"/>
      <c r="D28" s="231" t="str">
        <f ca="1">IF($S28 = $S$25, "[〇適合する・適合しない]",
        IF($S28 = $T$25, "[適合する・〇適合しない]", "[適合する・適合しない]"))</f>
        <v>[〇適合する・適合しない]</v>
      </c>
      <c r="E28" s="231"/>
      <c r="F28" s="231"/>
      <c r="G28" s="231"/>
      <c r="H28" s="231"/>
      <c r="I28" s="231"/>
      <c r="J28" s="18"/>
      <c r="M28" s="85" t="s">
        <v>291</v>
      </c>
      <c r="R28" s="79" t="s">
        <v>322</v>
      </c>
      <c r="S28" s="96" t="str">
        <f ca="1">IF($W28&gt;=1,$T$25,IF(AND(U28&gt;=1, ($U28+$Y28)=12),$S$25,""))</f>
        <v>適合</v>
      </c>
      <c r="T28" s="79" t="s">
        <v>324</v>
      </c>
      <c r="U28" s="96">
        <f ca="1">SUM(COUNTIF(その２基準適合状況!$G$8:$G$11,その２基準適合状況!$N$7),COUNTIF(その２基準適合状況!$K$8:$K$11,その２基準適合状況!$N$7),
COUNTIF(その２基準適合状況!$G$16:$G$17,その２基準適合状況!$N$7),COUNTIF(その２基準適合状況!$K$16:$K$17,その２基準適合状況!$N$7))</f>
        <v>4</v>
      </c>
      <c r="V28" s="79" t="s">
        <v>325</v>
      </c>
      <c r="W28" s="96">
        <f ca="1">SUM(COUNTIF(その２基準適合状況!$G$8:$G$11,その２基準適合状況!$O$7),COUNTIF(その２基準適合状況!$K$8:$K$11,その２基準適合状況!$O$7),
COUNTIF(その２基準適合状況!$G$16:$G$17,その２基準適合状況!$O$7),COUNTIF(その２基準適合状況!$K$16:$K$17,その２基準適合状況!$O$7))</f>
        <v>0</v>
      </c>
      <c r="X28" s="79" t="s">
        <v>326</v>
      </c>
      <c r="Y28" s="96">
        <f ca="1">SUM(COUNTIF(その２基準適合状況!$G$8:$G$11,その２基準適合状況!$P$7),COUNTIF(その２基準適合状況!$K$8:$K$11,その２基準適合状況!$P$7),
COUNTIF(その２基準適合状況!$G$16:$G$17,その２基準適合状況!$P$7),COUNTIF(その２基準適合状況!$K$16:$K$17,その２基準適合状況!$P$7))</f>
        <v>8</v>
      </c>
    </row>
    <row r="29" spans="2:25" ht="18" customHeight="1">
      <c r="B29" s="17"/>
      <c r="C29" s="1" t="s">
        <v>19</v>
      </c>
      <c r="D29" s="10"/>
      <c r="E29" s="10"/>
      <c r="F29" s="10"/>
      <c r="G29" s="10"/>
      <c r="H29" s="10"/>
      <c r="I29" s="10"/>
      <c r="J29" s="18"/>
    </row>
    <row r="30" spans="2:25" ht="26.25" customHeight="1">
      <c r="B30" s="17"/>
      <c r="D30" s="262" t="str">
        <f ca="1">IF($S30=$S$25,"[〇適合する・適合しない・全ての建築物が基準適用対象外]",
        IF($S30=$T$25,"[適合する・〇適合しない・全ての建築物が基準適用対象外]",
             IF($S30=$U$25,"[適合する・適合しない・〇全ての建築物が基準適用対象外]",
                  "[適合する・適合しない・全ての建築物が基準適用対象外]")))</f>
        <v>[適合する・適合しない・〇全ての建築物が基準適用対象外]</v>
      </c>
      <c r="E30" s="262"/>
      <c r="F30" s="262"/>
      <c r="G30" s="262"/>
      <c r="H30" s="262"/>
      <c r="I30" s="262"/>
      <c r="J30" s="18"/>
      <c r="M30" s="85" t="s">
        <v>291</v>
      </c>
      <c r="R30" s="79" t="s">
        <v>322</v>
      </c>
      <c r="S30" s="96" t="str">
        <f ca="1">IF(その２基準適合状況!$E$21 = "―", "対象外", その２基準適合状況!$E$21)</f>
        <v>対象外</v>
      </c>
    </row>
    <row r="31" spans="2:25" ht="18" customHeight="1">
      <c r="B31" s="17"/>
      <c r="C31" s="1" t="s">
        <v>20</v>
      </c>
      <c r="D31" s="10"/>
      <c r="E31" s="10"/>
      <c r="F31" s="10"/>
      <c r="G31" s="10"/>
      <c r="H31" s="10"/>
      <c r="I31" s="10"/>
      <c r="J31" s="18"/>
    </row>
    <row r="32" spans="2:25" ht="26.25" customHeight="1">
      <c r="B32" s="17"/>
      <c r="D32" s="262" t="str">
        <f ca="1">IF($S32=$S$25,"[〇適合する・適合しない・全ての建築物が基準適用対象外]",
        IF($S32=$T$25,"[適合する・〇適合しない・全ての建築物が基準適用対象外]",
             IF($S32=$U$25,"[適合する・適合しない・〇全ての建築物が基準適用対象外]",
                  "[適合する・適合しない・全ての建築物が基準適用対象外]")))</f>
        <v>[適合する・適合しない・〇全ての建築物が基準適用対象外]</v>
      </c>
      <c r="E32" s="262"/>
      <c r="F32" s="262"/>
      <c r="G32" s="262"/>
      <c r="H32" s="262"/>
      <c r="I32" s="262"/>
      <c r="J32" s="18"/>
      <c r="M32" s="85" t="s">
        <v>291</v>
      </c>
      <c r="R32" s="79" t="s">
        <v>322</v>
      </c>
      <c r="S32" s="96" t="str">
        <f ca="1">IF(その２基準適合状況!$F$21 = "―", "対象外", その２基準適合状況!$F$21)</f>
        <v>対象外</v>
      </c>
    </row>
    <row r="33" spans="2:25" ht="18" customHeight="1">
      <c r="B33" s="17"/>
      <c r="C33" s="1" t="s">
        <v>21</v>
      </c>
      <c r="D33" s="9"/>
      <c r="E33" s="9"/>
      <c r="F33" s="9"/>
      <c r="G33" s="9"/>
      <c r="H33" s="9"/>
      <c r="I33" s="9"/>
      <c r="J33" s="18"/>
    </row>
    <row r="34" spans="2:25" ht="26.25" customHeight="1">
      <c r="B34" s="17"/>
      <c r="D34" s="262" t="str">
        <f>IF($S34=$S$25,"[〇適合する・適合しない・全ての建築物が基準適用対象外]",
        IF($S34=$T$25,"[適合する・〇適合しない・全ての建築物が基準適用対象外]",
             IF($S34=$U$25,"[適合する・適合しない・〇全ての建築物が基準適用対象外]",
                  "[適合する・適合しない・全ての建築物が基準適用対象外]")))</f>
        <v>[適合する・適合しない・〇全ての建築物が基準適用対象外]</v>
      </c>
      <c r="E34" s="262"/>
      <c r="F34" s="262"/>
      <c r="G34" s="262"/>
      <c r="H34" s="262"/>
      <c r="I34" s="262"/>
      <c r="J34" s="18"/>
      <c r="M34" s="85" t="s">
        <v>291</v>
      </c>
      <c r="R34" s="79" t="s">
        <v>322</v>
      </c>
      <c r="S34" s="96" t="str">
        <f>IF($W34&gt;=1,$T$25,
        IF($Y34=3,$U$25,
             IF(($U34+$Y34)=3,$S$25,"")))</f>
        <v>対象外</v>
      </c>
      <c r="T34" s="79" t="s">
        <v>324</v>
      </c>
      <c r="U34" s="96">
        <f>COUNTIF(その２基準適合状況!$E$25:$E$27, その２基準適合状況!$N$7)</f>
        <v>0</v>
      </c>
      <c r="V34" s="79" t="s">
        <v>325</v>
      </c>
      <c r="W34" s="96">
        <f>COUNTIF(その２基準適合状況!$E$25:$E$27, その２基準適合状況!$O$7)</f>
        <v>0</v>
      </c>
      <c r="X34" s="79" t="s">
        <v>326</v>
      </c>
      <c r="Y34" s="96">
        <f>COUNTIF(その２基準適合状況!$E$25:$E$27, その２基準適合状況!$P$7)</f>
        <v>3</v>
      </c>
    </row>
    <row r="35" spans="2:25" ht="18" customHeight="1">
      <c r="B35" s="17"/>
      <c r="C35" s="1" t="s">
        <v>22</v>
      </c>
      <c r="D35" s="9"/>
      <c r="E35" s="9"/>
      <c r="F35" s="9"/>
      <c r="G35" s="9"/>
      <c r="H35" s="9"/>
      <c r="I35" s="9"/>
      <c r="J35" s="18"/>
    </row>
    <row r="36" spans="2:25" ht="26.25" customHeight="1">
      <c r="B36" s="17"/>
      <c r="D36" s="262" t="str">
        <f>IF($S36=$S$25,"[〇適合する・適合しない・全ての建築物が基準適用対象外]",
        IF($S36=$T$25,"[適合する・〇適合しない・全ての建築物が基準適用対象外]",
             IF($S36=$U$25,"[適合する・適合しない・〇全ての建築物が基準適用対象外]",
                  "[適合する・適合しない・全ての建築物が基準適用対象外]")))</f>
        <v>[適合する・〇適合しない・全ての建築物が基準適用対象外]</v>
      </c>
      <c r="E36" s="262"/>
      <c r="F36" s="262"/>
      <c r="G36" s="262"/>
      <c r="H36" s="262"/>
      <c r="I36" s="262"/>
      <c r="J36" s="18"/>
      <c r="M36" s="85" t="s">
        <v>291</v>
      </c>
      <c r="R36" s="79" t="s">
        <v>322</v>
      </c>
      <c r="S36" s="96" t="str">
        <f>IF($W36&gt;=1,$T$25,
        IF($Y36=3,$U$25,
             IF(($U36+$Y36)=3,$S$25,"")))</f>
        <v>適合しない</v>
      </c>
      <c r="T36" s="79" t="s">
        <v>324</v>
      </c>
      <c r="U36" s="96">
        <f>COUNTIF(その２基準適合状況!$F$25:$F$27, その２基準適合状況!$N$7)</f>
        <v>0</v>
      </c>
      <c r="V36" s="79" t="s">
        <v>325</v>
      </c>
      <c r="W36" s="96">
        <f>COUNTIF(その２基準適合状況!$F$25:$F$27, その２基準適合状況!$O$7)</f>
        <v>1</v>
      </c>
      <c r="X36" s="79" t="s">
        <v>326</v>
      </c>
      <c r="Y36" s="96">
        <f>COUNTIF(その２基準適合状況!$F$25:$F$27, その２基準適合状況!$P$7)</f>
        <v>2</v>
      </c>
    </row>
    <row r="37" spans="2:25" ht="18" customHeight="1">
      <c r="B37" s="17"/>
      <c r="C37" s="1" t="s">
        <v>23</v>
      </c>
      <c r="D37" s="9"/>
      <c r="E37" s="9"/>
      <c r="F37" s="9"/>
      <c r="G37" s="9"/>
      <c r="H37" s="9"/>
      <c r="I37" s="9"/>
      <c r="J37" s="18"/>
    </row>
    <row r="38" spans="2:25" ht="26.25" customHeight="1">
      <c r="B38" s="19"/>
      <c r="C38" s="20"/>
      <c r="D38" s="263" t="str">
        <f ca="1">IF($S38 = $S$25, "[〇適合する・適合しない]",
        IF($S38 = $T$25, "[適合する・〇適合しない]", "[適合する・適合しない]"))</f>
        <v>[適合する・適合しない]</v>
      </c>
      <c r="E38" s="263"/>
      <c r="F38" s="263"/>
      <c r="G38" s="263"/>
      <c r="H38" s="263"/>
      <c r="I38" s="263"/>
      <c r="J38" s="21"/>
      <c r="M38" s="85" t="s">
        <v>291</v>
      </c>
      <c r="R38" s="79" t="s">
        <v>322</v>
      </c>
      <c r="S38" s="96" t="str">
        <f ca="1">IF(S26="", "",
        IF($U38 &gt;= 1, $T$25,
             IF($W38 = 0, $S$25, "")))</f>
        <v/>
      </c>
      <c r="T38" s="79" t="s">
        <v>328</v>
      </c>
      <c r="U38" s="96" cm="1">
        <f t="array" aca="1" ref="U38" ca="1">SUMPRODUCT(--(('その４建物別情報（住宅）_入力シート（非公開）'!$AT$11:$AT$2086 = マスタ!$I$4)
                                    * ('その４建物別情報（住宅）_入力シート（非公開）'!$C$11:$C$2086 &lt;&gt; "")))
    + SUMPRODUCT(--(('その４建物別情報（非住宅）_入力シート（非公開）'!$AQ$11:$AQ$2020 = マスタ!$I$4)
                                         * ('その４建物別情報（非住宅）_入力シート（非公開）'!$C$11:$C$2020 &lt;&gt; "")))</f>
        <v>0</v>
      </c>
      <c r="V38" s="79" t="s">
        <v>329</v>
      </c>
      <c r="W38" s="96" cm="1">
        <f t="array" aca="1" ref="W38" ca="1">SUMPRODUCT(--(('その４建物別情報（住宅）_入力シート（非公開）'!$AT$11:$AT$2086 = "")
                                    * ('その４建物別情報（住宅）_入力シート（非公開）'!$C$11:$C$2086 &lt;&gt; "")))
    + SUMPRODUCT(--(('その４建物別情報（非住宅）_入力シート（非公開）'!$AQ$11:$AQ$2020 = "")
                                         * ('その４建物別情報（非住宅）_入力シート（非公開）'!$C$11:$C$2020 &lt;&gt; "")))-2</f>
        <v>2</v>
      </c>
    </row>
    <row r="39" spans="2:25" ht="17.25" customHeight="1">
      <c r="D39" s="261"/>
      <c r="E39" s="261"/>
      <c r="F39" s="261"/>
      <c r="G39" s="261"/>
      <c r="H39" s="261"/>
      <c r="I39" s="261"/>
    </row>
    <row r="40" spans="2:25" ht="17.25" customHeight="1">
      <c r="C40" s="10"/>
      <c r="D40" s="261"/>
      <c r="E40" s="261"/>
      <c r="F40" s="261"/>
      <c r="G40" s="261"/>
      <c r="H40" s="261"/>
      <c r="I40" s="261"/>
    </row>
    <row r="41" spans="2:25" ht="17.25" customHeight="1">
      <c r="C41" s="10"/>
      <c r="D41" s="261"/>
      <c r="E41" s="261"/>
      <c r="F41" s="261"/>
      <c r="G41" s="261"/>
      <c r="H41" s="261"/>
      <c r="I41" s="261"/>
    </row>
    <row r="42" spans="2:25" ht="17.25" customHeight="1">
      <c r="C42" s="10"/>
      <c r="D42" s="261"/>
      <c r="E42" s="261"/>
      <c r="F42" s="261"/>
      <c r="G42" s="261"/>
      <c r="H42" s="261"/>
      <c r="I42" s="261"/>
    </row>
    <row r="43" spans="2:25" ht="17.25" customHeight="1">
      <c r="C43" s="10"/>
      <c r="D43" s="261"/>
      <c r="E43" s="261"/>
      <c r="F43" s="261"/>
      <c r="G43" s="261"/>
      <c r="H43" s="261"/>
      <c r="I43" s="261"/>
    </row>
    <row r="44" spans="2:25" ht="9" customHeight="1"/>
    <row r="46" spans="2:25">
      <c r="D46" s="1" t="s">
        <v>24</v>
      </c>
    </row>
  </sheetData>
  <mergeCells count="32">
    <mergeCell ref="F15:I15"/>
    <mergeCell ref="H23:I23"/>
    <mergeCell ref="D39:I43"/>
    <mergeCell ref="D30:I30"/>
    <mergeCell ref="D34:I34"/>
    <mergeCell ref="D38:I38"/>
    <mergeCell ref="D28:I28"/>
    <mergeCell ref="D32:I32"/>
    <mergeCell ref="D36:I36"/>
    <mergeCell ref="B3:I3"/>
    <mergeCell ref="D26:I26"/>
    <mergeCell ref="D17:E17"/>
    <mergeCell ref="F17:I17"/>
    <mergeCell ref="D19:F20"/>
    <mergeCell ref="D22:F23"/>
    <mergeCell ref="H19:I19"/>
    <mergeCell ref="H20:I20"/>
    <mergeCell ref="H22:I22"/>
    <mergeCell ref="D16:E16"/>
    <mergeCell ref="D14:D15"/>
    <mergeCell ref="F16:I16"/>
    <mergeCell ref="D6:D9"/>
    <mergeCell ref="D10:D13"/>
    <mergeCell ref="E6:I6"/>
    <mergeCell ref="E8:I8"/>
    <mergeCell ref="E7:I7"/>
    <mergeCell ref="E9:I9"/>
    <mergeCell ref="E11:I11"/>
    <mergeCell ref="E13:I13"/>
    <mergeCell ref="F14:I14"/>
    <mergeCell ref="E10:I10"/>
    <mergeCell ref="E12:I12"/>
  </mergeCells>
  <phoneticPr fontId="1"/>
  <conditionalFormatting sqref="E7:I7 E9:I9 E11:I11 E13:I13 F14:I17 H22:I23">
    <cfRule type="expression" dxfId="63" priority="54">
      <formula>#REF!="OFF"</formula>
    </cfRule>
  </conditionalFormatting>
  <conditionalFormatting sqref="N7">
    <cfRule type="containsText" dxfId="62" priority="17" operator="containsText" text="（注意）">
      <formula>NOT(ISERROR(SEARCH("（注意）",N7)))</formula>
    </cfRule>
    <cfRule type="containsText" dxfId="61" priority="18" operator="containsText" text="（正常）">
      <formula>NOT(ISERROR(SEARCH("（正常）",N7)))</formula>
    </cfRule>
    <cfRule type="containsText" dxfId="60" priority="19" operator="containsText" text="（エラー）">
      <formula>NOT(ISERROR(SEARCH("（エラー）",N7)))</formula>
    </cfRule>
  </conditionalFormatting>
  <conditionalFormatting sqref="N9">
    <cfRule type="containsText" dxfId="59" priority="14" operator="containsText" text="（注意）">
      <formula>NOT(ISERROR(SEARCH("（注意）",N9)))</formula>
    </cfRule>
    <cfRule type="containsText" dxfId="58" priority="15" operator="containsText" text="（正常）">
      <formula>NOT(ISERROR(SEARCH("（正常）",N9)))</formula>
    </cfRule>
    <cfRule type="containsText" dxfId="57" priority="16" operator="containsText" text="（エラー）">
      <formula>NOT(ISERROR(SEARCH("（エラー）",N9)))</formula>
    </cfRule>
  </conditionalFormatting>
  <conditionalFormatting sqref="N14:N17">
    <cfRule type="containsText" dxfId="56" priority="8" operator="containsText" text="（注意）">
      <formula>NOT(ISERROR(SEARCH("（注意）",N14)))</formula>
    </cfRule>
    <cfRule type="containsText" dxfId="55" priority="9" operator="containsText" text="（正常）">
      <formula>NOT(ISERROR(SEARCH("（正常）",N14)))</formula>
    </cfRule>
    <cfRule type="containsText" dxfId="54" priority="10" operator="containsText" text="（エラー）">
      <formula>NOT(ISERROR(SEARCH("（エラー）",N14)))</formula>
    </cfRule>
  </conditionalFormatting>
  <conditionalFormatting sqref="N22:N23">
    <cfRule type="containsText" dxfId="53" priority="5" operator="containsText" text="（注意）">
      <formula>NOT(ISERROR(SEARCH("（注意）",N22)))</formula>
    </cfRule>
    <cfRule type="containsText" dxfId="52" priority="6" operator="containsText" text="（正常）">
      <formula>NOT(ISERROR(SEARCH("（正常）",N22)))</formula>
    </cfRule>
    <cfRule type="containsText" dxfId="51" priority="7" operator="containsText" text="（エラー）">
      <formula>NOT(ISERROR(SEARCH("（エラー）",N22)))</formula>
    </cfRule>
  </conditionalFormatting>
  <conditionalFormatting sqref="O23">
    <cfRule type="containsText" dxfId="50" priority="2" operator="containsText" text="（注意）">
      <formula>NOT(ISERROR(SEARCH("（注意）",O23)))</formula>
    </cfRule>
    <cfRule type="containsText" dxfId="49" priority="3" operator="containsText" text="（正常）">
      <formula>NOT(ISERROR(SEARCH("（正常）",O23)))</formula>
    </cfRule>
    <cfRule type="containsText" dxfId="48" priority="4" operator="containsText" text="（エラー）">
      <formula>NOT(ISERROR(SEARCH("（エラー）",O23)))</formula>
    </cfRule>
  </conditionalFormatting>
  <dataValidations count="2">
    <dataValidation type="whole" operator="greaterThanOrEqual" allowBlank="1" showInputMessage="1" showErrorMessage="1" sqref="H22:I22" xr:uid="{00000000-0002-0000-0200-000000000000}">
      <formula1>0</formula1>
    </dataValidation>
    <dataValidation type="decimal" operator="greaterThanOrEqual" allowBlank="1" showInputMessage="1" showErrorMessage="1" sqref="H23:I23" xr:uid="{00000000-0002-0000-0200-000001000000}">
      <formula1>0</formula1>
    </dataValidation>
  </dataValidations>
  <pageMargins left="0.70866141732283472" right="0.51181102362204722" top="0.55118110236220474" bottom="0.55118110236220474" header="0.31496062992125984" footer="0.31496062992125984"/>
  <pageSetup paperSize="9" scale="43"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ltText="住宅一戸建て住宅建築主">
                <anchor moveWithCells="1">
                  <from>
                    <xdr:col>4</xdr:col>
                    <xdr:colOff>704850</xdr:colOff>
                    <xdr:row>15</xdr:row>
                    <xdr:rowOff>47625</xdr:rowOff>
                  </from>
                  <to>
                    <xdr:col>5</xdr:col>
                    <xdr:colOff>228600</xdr:colOff>
                    <xdr:row>15</xdr:row>
                    <xdr:rowOff>276225</xdr:rowOff>
                  </to>
                </anchor>
              </controlPr>
            </control>
          </mc:Choice>
        </mc:AlternateContent>
        <mc:AlternateContent xmlns:mc="http://schemas.openxmlformats.org/markup-compatibility/2006">
          <mc:Choice Requires="x14">
            <control shapeId="9223" r:id="rId5" name="Check Box 7">
              <controlPr defaultSize="0" autoFill="0" autoLine="0" autoPict="0" altText="特定一戸建て住宅建設工事業者">
                <anchor moveWithCells="1">
                  <from>
                    <xdr:col>4</xdr:col>
                    <xdr:colOff>704850</xdr:colOff>
                    <xdr:row>15</xdr:row>
                    <xdr:rowOff>209550</xdr:rowOff>
                  </from>
                  <to>
                    <xdr:col>5</xdr:col>
                    <xdr:colOff>228600</xdr:colOff>
                    <xdr:row>15</xdr:row>
                    <xdr:rowOff>438150</xdr:rowOff>
                  </to>
                </anchor>
              </controlPr>
            </control>
          </mc:Choice>
        </mc:AlternateContent>
        <mc:AlternateContent xmlns:mc="http://schemas.openxmlformats.org/markup-compatibility/2006">
          <mc:Choice Requires="x14">
            <control shapeId="9224" r:id="rId6" name="Check Box 8">
              <controlPr defaultSize="0" autoFill="0" autoLine="0" autoPict="0" altText="特定共同住宅等建築主又は特定共同住宅等建設工事業者">
                <anchor moveWithCells="1">
                  <from>
                    <xdr:col>4</xdr:col>
                    <xdr:colOff>704850</xdr:colOff>
                    <xdr:row>15</xdr:row>
                    <xdr:rowOff>371475</xdr:rowOff>
                  </from>
                  <to>
                    <xdr:col>5</xdr:col>
                    <xdr:colOff>228600</xdr:colOff>
                    <xdr:row>15</xdr:row>
                    <xdr:rowOff>600075</xdr:rowOff>
                  </to>
                </anchor>
              </controlPr>
            </control>
          </mc:Choice>
        </mc:AlternateContent>
        <mc:AlternateContent xmlns:mc="http://schemas.openxmlformats.org/markup-compatibility/2006">
          <mc:Choice Requires="x14">
            <control shapeId="9226" r:id="rId7" name="Option Button 10">
              <controlPr defaultSize="0" autoFill="0" autoLine="0" autoPict="0">
                <anchor moveWithCells="1">
                  <from>
                    <xdr:col>4</xdr:col>
                    <xdr:colOff>704850</xdr:colOff>
                    <xdr:row>16</xdr:row>
                    <xdr:rowOff>38100</xdr:rowOff>
                  </from>
                  <to>
                    <xdr:col>5</xdr:col>
                    <xdr:colOff>257175</xdr:colOff>
                    <xdr:row>16</xdr:row>
                    <xdr:rowOff>257175</xdr:rowOff>
                  </to>
                </anchor>
              </controlPr>
            </control>
          </mc:Choice>
        </mc:AlternateContent>
        <mc:AlternateContent xmlns:mc="http://schemas.openxmlformats.org/markup-compatibility/2006">
          <mc:Choice Requires="x14">
            <control shapeId="9227" r:id="rId8" name="Option Button 11">
              <controlPr defaultSize="0" autoFill="0" autoLine="0" autoPict="0">
                <anchor moveWithCells="1">
                  <from>
                    <xdr:col>4</xdr:col>
                    <xdr:colOff>704850</xdr:colOff>
                    <xdr:row>16</xdr:row>
                    <xdr:rowOff>209550</xdr:rowOff>
                  </from>
                  <to>
                    <xdr:col>5</xdr:col>
                    <xdr:colOff>257175</xdr:colOff>
                    <xdr:row>16</xdr:row>
                    <xdr:rowOff>428625</xdr:rowOff>
                  </to>
                </anchor>
              </controlPr>
            </control>
          </mc:Choice>
        </mc:AlternateContent>
        <mc:AlternateContent xmlns:mc="http://schemas.openxmlformats.org/markup-compatibility/2006">
          <mc:Choice Requires="x14">
            <control shapeId="9228" r:id="rId9" name="Option Button 12">
              <controlPr defaultSize="0" autoFill="0" autoLine="0" autoPict="0">
                <anchor moveWithCells="1">
                  <from>
                    <xdr:col>4</xdr:col>
                    <xdr:colOff>704850</xdr:colOff>
                    <xdr:row>16</xdr:row>
                    <xdr:rowOff>361950</xdr:rowOff>
                  </from>
                  <to>
                    <xdr:col>5</xdr:col>
                    <xdr:colOff>257175</xdr:colOff>
                    <xdr:row>16</xdr:row>
                    <xdr:rowOff>590550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AO42"/>
  <sheetViews>
    <sheetView topLeftCell="B10" zoomScale="85" zoomScaleNormal="85" zoomScaleSheetLayoutView="85" workbookViewId="0">
      <selection activeCell="C17" sqref="C17:D17"/>
    </sheetView>
  </sheetViews>
  <sheetFormatPr defaultColWidth="9" defaultRowHeight="13.5"/>
  <cols>
    <col min="1" max="1" width="1.5" style="1" customWidth="1"/>
    <col min="2" max="2" width="3.125" style="1" customWidth="1"/>
    <col min="3" max="3" width="18.25" style="1" customWidth="1"/>
    <col min="4" max="5" width="15.625" style="1" customWidth="1"/>
    <col min="6" max="6" width="14.375" style="1" customWidth="1"/>
    <col min="7" max="7" width="15.5" style="1" customWidth="1"/>
    <col min="8" max="8" width="17.75" style="1" customWidth="1"/>
    <col min="9" max="11" width="18.5" style="1" customWidth="1"/>
    <col min="12" max="12" width="9" style="1"/>
    <col min="13" max="13" width="10.5" style="1" customWidth="1"/>
    <col min="14" max="14" width="5.25" style="1" customWidth="1"/>
    <col min="15" max="15" width="11.25" style="1" customWidth="1"/>
    <col min="16" max="16" width="4" style="1" customWidth="1"/>
    <col min="17" max="17" width="11.25" style="1" customWidth="1"/>
    <col min="18" max="18" width="9.125" style="1" customWidth="1"/>
    <col min="19" max="19" width="11.25" style="1" customWidth="1"/>
    <col min="20" max="20" width="9.125" style="1" customWidth="1"/>
    <col min="21" max="21" width="11.25" style="1" customWidth="1"/>
    <col min="22" max="22" width="9.125" style="1" customWidth="1"/>
    <col min="23" max="23" width="11.25" style="1" customWidth="1"/>
    <col min="24" max="24" width="5.25" style="1" customWidth="1"/>
    <col min="25" max="25" width="11.25" style="1" customWidth="1"/>
    <col min="26" max="26" width="5.25" style="1" customWidth="1"/>
    <col min="27" max="28" width="9.125" style="1" customWidth="1"/>
    <col min="29" max="29" width="11.25" style="1" customWidth="1"/>
    <col min="30" max="30" width="9.125" style="1" customWidth="1"/>
    <col min="31" max="31" width="5.25" style="1" customWidth="1"/>
    <col min="32" max="32" width="8.25" style="1" customWidth="1"/>
    <col min="33" max="33" width="10.125" style="1" customWidth="1"/>
    <col min="34" max="35" width="9.125" style="1" customWidth="1"/>
    <col min="36" max="36" width="10.125" style="1" customWidth="1"/>
    <col min="37" max="37" width="12.25" style="1" customWidth="1"/>
    <col min="38" max="38" width="13.375" style="1" customWidth="1"/>
    <col min="39" max="39" width="10.125" style="1" customWidth="1"/>
    <col min="40" max="40" width="13.375" style="1" customWidth="1"/>
    <col min="41" max="41" width="10.125" style="1" customWidth="1"/>
    <col min="42" max="16384" width="9" style="1"/>
  </cols>
  <sheetData>
    <row r="1" spans="2:41" ht="15" customHeight="1">
      <c r="B1" s="36" t="s">
        <v>25</v>
      </c>
      <c r="K1" s="11"/>
    </row>
    <row r="2" spans="2:41" ht="9" customHeight="1"/>
    <row r="3" spans="2:41" ht="15" customHeight="1">
      <c r="B3" s="1" t="s">
        <v>26</v>
      </c>
    </row>
    <row r="4" spans="2:41" ht="15" customHeight="1">
      <c r="C4" s="1" t="s">
        <v>27</v>
      </c>
    </row>
    <row r="5" spans="2:41" ht="15" customHeight="1">
      <c r="C5" s="8" t="s">
        <v>28</v>
      </c>
      <c r="I5" s="11"/>
      <c r="J5" s="11"/>
    </row>
    <row r="6" spans="2:41" ht="13.5" customHeight="1">
      <c r="C6" s="268" t="s">
        <v>29</v>
      </c>
      <c r="D6" s="269"/>
      <c r="E6" s="264" t="s">
        <v>30</v>
      </c>
      <c r="F6" s="265"/>
      <c r="G6" s="266"/>
      <c r="H6" s="232" t="s">
        <v>31</v>
      </c>
      <c r="I6" s="232"/>
      <c r="J6" s="232"/>
      <c r="K6" s="232"/>
    </row>
    <row r="7" spans="2:41" ht="54">
      <c r="C7" s="270"/>
      <c r="D7" s="271"/>
      <c r="E7" s="24" t="s">
        <v>32</v>
      </c>
      <c r="F7" s="35" t="s">
        <v>33</v>
      </c>
      <c r="G7" s="6" t="s">
        <v>34</v>
      </c>
      <c r="H7" s="24" t="s">
        <v>35</v>
      </c>
      <c r="I7" s="24" t="s">
        <v>36</v>
      </c>
      <c r="J7" s="35" t="s">
        <v>37</v>
      </c>
      <c r="K7" s="6" t="s">
        <v>34</v>
      </c>
      <c r="M7" s="108" t="s">
        <v>313</v>
      </c>
      <c r="N7" s="109" t="s">
        <v>307</v>
      </c>
      <c r="O7" s="110" t="s">
        <v>193</v>
      </c>
      <c r="P7" s="96" t="s">
        <v>136</v>
      </c>
    </row>
    <row r="8" spans="2:41">
      <c r="C8" s="272" t="s">
        <v>38</v>
      </c>
      <c r="D8" s="274"/>
      <c r="E8" s="100" t="str">
        <f t="array" aca="1" ref="E8" ca="1">IF(OR($N8=0,NOT('その１事業者基本情報_入力シート（一部非公開）'!$S$16)),$P$7,
MAX(IF(OFFSET('その４建物別情報（住宅）_入力シート（非公開）'!$BL$11,0,0,COUNTA('その４建物別情報（住宅）_入力シート（非公開）'!$C:$C)-2,1)=マスタ!$C$4,
OFFSET('その４建物別情報（住宅）_入力シート（非公開）'!$BM$11,0,0,COUNTA('その４建物別情報（住宅）_入力シート（非公開）'!$C:$C)-2,1))))</f>
        <v>―</v>
      </c>
      <c r="F8" s="3" t="str" cm="1">
        <f t="array" aca="1" ref="F8" ca="1">IF($E8=$P$7, $P$7,
       IF(SUMPRODUCT(--(('その４建物別情報（住宅）_入力シート（非公開）'!$BL$11:$BL$2086=マスタ!$C$4)
                                            *('その４建物別情報（住宅）_入力シート（非公開）'!$N$11:$N$2086=$N$7)))
             =$N$8, $N$7, $O$7))</f>
        <v>―</v>
      </c>
      <c r="G8" s="3" t="str" cm="1">
        <f t="array" aca="1" ref="G8" ca="1">IF($E8=$P$7, $P$7,
       IF(SUMPRODUCT(--(('その４建物別情報（住宅）_入力シート（非公開）'!$BL$11:$BL$2086=マスタ!$C$4)
                                            *('その４建物別情報（住宅）_入力シート（非公開）'!$P$11:$P$2086=$N$7)))
             =$N$8, $N$7, $O$7))</f>
        <v>―</v>
      </c>
      <c r="H8" s="102" t="str">
        <f ca="1">IF(OR($N8=0, NOT('その１事業者基本情報_入力シート（一部非公開）'!$S$16)), $P$7,
       ROUNDUP(
                      SUMIF(OFFSET('その４建物別情報（住宅）_入力シート（非公開）'!$BL$11,0,0,COUNTA('その４建物別情報（住宅）_入力シート（非公開）'!$C:$C)-2,1), マスタ!$C$4,
                                   OFFSET('その４建物別情報（住宅）_入力シート（非公開）'!$R$11,0,0,COUNTA('その４建物別情報（住宅）_入力シート（非公開）'!$C:$C)-2,1))
                      / SUMIF(OFFSET('その４建物別情報（住宅）_入力シート（非公開）'!$BL$11,0,0,COUNTA('その４建物別情報（住宅）_入力シート（非公開）'!$C:$C)-2,1),マスタ!$C$4,
                                      OFFSET('その４建物別情報（住宅）_入力シート（非公開）'!$Q$11,0,0,COUNTA('その４建物別情報（住宅）_入力シート（非公開）'!$C:$C)-2,1)),2))</f>
        <v>―</v>
      </c>
      <c r="I8" s="3" t="str">
        <f ca="1">IF($H8=$P$7,$P$7,
        IF($H8&lt;=0.85,$N$7,$O$7))</f>
        <v>―</v>
      </c>
      <c r="J8" s="102" t="str">
        <f ca="1">IF(OR($N8=0, NOT('その１事業者基本情報_入力シート（一部非公開）'!$S$16)), $P$7,
       ROUNDUP(
                      SUMIF(OFFSET('その４建物別情報（住宅）_入力シート（非公開）'!$BL$11,0,0,COUNTA('その４建物別情報（住宅）_入力シート（非公開）'!$C:$C)-2,1), マスタ!$C$4,
                                   OFFSET('その４建物別情報（住宅）_入力シート（非公開）'!$W$11,0,0,COUNTA('その４建物別情報（住宅）_入力シート（非公開）'!$C:$C)-2,1))
                      / SUMIF(OFFSET('その４建物別情報（住宅）_入力シート（非公開）'!$BL$11,0,0,COUNTA('その４建物別情報（住宅）_入力シート（非公開）'!$C:$C)-2,1),マスタ!$C$4,
                                      OFFSET('その４建物別情報（住宅）_入力シート（非公開）'!$V$11,0,0,COUNTA('その４建物別情報（住宅）_入力シート（非公開）'!$C:$C)-2,1)),2))</f>
        <v>―</v>
      </c>
      <c r="K8" s="3" t="str">
        <f ca="1">IF($J8=$P$7,$P$7,
        IF($J8&lt;=0.8,$N$7,$O$7))</f>
        <v>―</v>
      </c>
      <c r="M8" s="79" t="s">
        <v>306</v>
      </c>
      <c r="N8" s="96" cm="1">
        <f t="array" ref="N8">SUMPRODUCT(--(('その４建物別情報（住宅）_入力シート（非公開）'!$BL$11:$BL$2086=マスタ!$C$4)))</f>
        <v>0</v>
      </c>
    </row>
    <row r="9" spans="2:41">
      <c r="C9" s="272" t="s">
        <v>39</v>
      </c>
      <c r="D9" s="274"/>
      <c r="E9" s="100" t="str">
        <f t="array" aca="1" ref="E9" ca="1">IF(OR($N9=0, NOT('その１事業者基本情報_入力シート（一部非公開）'!$U$16)), $P$7,
   MAX(IF(OFFSET('その４建物別情報（住宅）_入力シート（非公開）'!$BL$11, 0, 0, COUNTA('その４建物別情報（住宅）_入力シート（非公開）'!$C:$C)-2, 1)=マスタ!$C$3,
       OFFSET('その４建物別情報（住宅）_入力シート（非公開）'!$BM$11, 0, 0, COUNTA('その４建物別情報（住宅）_入力シート（非公開）'!$C:$C)-2, 1))))</f>
        <v>―</v>
      </c>
      <c r="F9" s="3" t="str" cm="1">
        <f t="array" aca="1" ref="F9" ca="1">IF($E9=$P$7, $P$7,
       IF(SUMPRODUCT(--(('その４建物別情報（住宅）_入力シート（非公開）'!$BL$11:$BL$2086=マスタ!$C$3)
                                            *('その４建物別情報（住宅）_入力シート（非公開）'!$N$11:$N$2086=$N$7)))
             =$N$9, $N$7, $O$7))</f>
        <v>―</v>
      </c>
      <c r="G9" s="3" t="str" cm="1">
        <f t="array" aca="1" ref="G9" ca="1">IF($E9=$P$7, $P$7,
       IF(SUMPRODUCT(--(('その４建物別情報（住宅）_入力シート（非公開）'!$BL$11:$BL$2086=マスタ!$C$3)
                                            *('その４建物別情報（住宅）_入力シート（非公開）'!$P$11:$P$2086=$N$7)))
             =$N$9, $N$7, $O$7))</f>
        <v>―</v>
      </c>
      <c r="H9" s="102" t="str">
        <f ca="1">IF(OR($N9=0, NOT('その１事業者基本情報_入力シート（一部非公開）'!$U$16)), $P$7,
       ROUNDUP(
                      SUMIF(OFFSET('その４建物別情報（住宅）_入力シート（非公開）'!$BL$11,0,0,COUNTA('その４建物別情報（住宅）_入力シート（非公開）'!$C:$C)-2,1), マスタ!$C$3,
                                   OFFSET('その４建物別情報（住宅）_入力シート（非公開）'!$R$11,0,0,COUNTA('その４建物別情報（住宅）_入力シート（非公開）'!$C:$C)-2,1))
                      / SUMIF(OFFSET('その４建物別情報（住宅）_入力シート（非公開）'!$BL$11,0,0,COUNTA('その４建物別情報（住宅）_入力シート（非公開）'!$C:$C)-2,1),マスタ!$C$3,
                                      OFFSET('その４建物別情報（住宅）_入力シート（非公開）'!$Q$11,0,0,COUNTA('その４建物別情報（住宅）_入力シート（非公開）'!$C:$C)-2,1)),2))</f>
        <v>―</v>
      </c>
      <c r="I9" s="3" t="str">
        <f ca="1">IF($H9=$P$7,$P$7,
        IF($H9&lt;=0.8,$N$7,$O$7))</f>
        <v>―</v>
      </c>
      <c r="J9" s="102" t="str">
        <f ca="1">IF(OR($N9=0, NOT('その１事業者基本情報_入力シート（一部非公開）'!$U$16)), $P$7,
       ROUNDUP(
                      SUMIF(OFFSET('その４建物別情報（住宅）_入力シート（非公開）'!$BL$11,0,0,COUNTA('その４建物別情報（住宅）_入力シート（非公開）'!$C:$C)-2,1), マスタ!$C$3,
                                   OFFSET('その４建物別情報（住宅）_入力シート（非公開）'!$W$11,0,0,COUNTA('その４建物別情報（住宅）_入力シート（非公開）'!$C:$C)-2,1))
                      / SUMIF(OFFSET('その４建物別情報（住宅）_入力シート（非公開）'!$BL$11,0,0,COUNTA('その４建物別情報（住宅）_入力シート（非公開）'!$C:$C)-2,1),マスタ!$C$3,
                                      OFFSET('その４建物別情報（住宅）_入力シート（非公開）'!$V$11,0,0,COUNTA('その４建物別情報（住宅）_入力シート（非公開）'!$C:$C)-2,1)),2))</f>
        <v>―</v>
      </c>
      <c r="K9" s="3" t="str">
        <f ca="1">IF($J9=$P$7,$P$7,
        IF($J9&lt;=0.75,$N$7,$O$7))</f>
        <v>―</v>
      </c>
      <c r="M9" s="79" t="s">
        <v>306</v>
      </c>
      <c r="N9" s="96" cm="1">
        <f t="array" ref="N9">SUMPRODUCT(--(('その４建物別情報（住宅）_入力シート（非公開）'!$BL$11:$BL$2086=マスタ!$C$3)))</f>
        <v>0</v>
      </c>
    </row>
    <row r="10" spans="2:41">
      <c r="C10" s="272" t="s">
        <v>40</v>
      </c>
      <c r="D10" s="274"/>
      <c r="E10" s="100">
        <f ca="1">IF(OR($N10+$P10=0, NOT('その１事業者基本情報_入力シート（一部非公開）'!$W$16)), $P$7, MAX($S10,$U10))</f>
        <v>0.72</v>
      </c>
      <c r="F10" s="3" t="str">
        <f ca="1">IF($E10=$P$7, $P$7,IF(AND($X10=$N$7, $Z10=$N$7), $N$7, $O$7))</f>
        <v>適合</v>
      </c>
      <c r="G10" s="3" t="str">
        <f ca="1">IF($E10=$P$7, $P$7,IF(AND($AC10=$N$7, $AE10=$N$7), $N$7, $O$7))</f>
        <v>適合</v>
      </c>
      <c r="H10" s="102">
        <f ca="1">IF(OR($N10=0, NOT('その１事業者基本情報_入力シート（一部非公開）'!$W$16)), $P$7,
       ROUNDUP($AH$10/$AJ$10,2))</f>
        <v>0.8</v>
      </c>
      <c r="I10" s="3" t="str">
        <f ca="1">IF($H10=$P$7,$P$7,
        IF($H10&lt;=0.9,$N$7,$O$7))</f>
        <v>適合</v>
      </c>
      <c r="J10" s="102">
        <f ca="1">IF(OR($N10=0, NOT('その１事業者基本情報_入力シート（一部非公開）'!$W$16)), $P$7,
       ROUNDUP($AM$10/$AO$10,2))</f>
        <v>0.7</v>
      </c>
      <c r="K10" s="3" t="str">
        <f ca="1">IF($J10=$P$7,$P$7,
        IF($J10&lt;=0.8,$N$7,$O$7))</f>
        <v>適合</v>
      </c>
      <c r="M10" s="79" t="s">
        <v>309</v>
      </c>
      <c r="N10" s="96" cm="1">
        <f t="array" ref="N10">SUMPRODUCT(--(('その４建物別情報（住宅）_入力シート（非公開）'!$BL$11:$BL$2086=マスタ!$C$6)))</f>
        <v>1</v>
      </c>
      <c r="O10" s="79" t="s">
        <v>310</v>
      </c>
      <c r="P10" s="80" cm="1">
        <f t="array" ref="P10">SUMPRODUCT(--(('その４建物別情報（住宅）_入力シート（非公開）'!$BL$11:$BL$2086=マスタ!$C$7)))</f>
        <v>0</v>
      </c>
      <c r="Q10" s="106" t="s">
        <v>297</v>
      </c>
      <c r="R10" s="105" t="s">
        <v>298</v>
      </c>
      <c r="S10" s="104">
        <f t="array" aca="1" ref="S10" ca="1">MAX(IF(OFFSET('その４建物別情報（住宅）_入力シート（非公開）'!$BL$11, 0, 0, COUNTA('その４建物別情報（住宅）_入力シート（非公開）'!$C:$C)-2, 1)=マスタ!$C$6,
     OFFSET('その４建物別情報（住宅）_入力シート（非公開）'!$BM$11, 0, 0, COUNTA('その４建物別情報（住宅）_入力シート（非公開）'!$C:$C)-2, 1)))</f>
        <v>0.72</v>
      </c>
      <c r="T10" s="79" t="s">
        <v>299</v>
      </c>
      <c r="U10" s="104" cm="1">
        <f t="array" aca="1" ref="U10" ca="1">MAX(IF(OFFSET('その４建物別情報（住宅）_入力シート（非公開）'!$BL$11, 0, 0, COUNTA('その４建物別情報（住宅）_入力シート（非公開）'!$C:$C)-2, 1)=マスタ!$C$7,
     OFFSET('その４建物別情報（住宅）_入力シート（非公開）'!$BM$11, 0, 0, COUNTA('その４建物別情報（住宅）_入力シート（非公開）'!$C:$C)-2, 1)))</f>
        <v>0</v>
      </c>
      <c r="V10" s="106" t="s">
        <v>300</v>
      </c>
      <c r="W10" s="105" t="s">
        <v>298</v>
      </c>
      <c r="X10" s="104" t="str" cm="1">
        <f t="array" ref="X10">IF(SUMPRODUCT(--(('その４建物別情報（住宅）_入力シート（非公開）'!$BL$11:$BL$2086=マスタ!$C$6)
                                            *('その４建物別情報（住宅）_入力シート（非公開）'!$N$11:$N$2086=$N$7)))
        =$N10, $N$7,$O$7)</f>
        <v>適合</v>
      </c>
      <c r="Y10" s="79" t="s">
        <v>299</v>
      </c>
      <c r="Z10" s="104" t="str" cm="1">
        <f t="array" ref="Z10">IF(SUMPRODUCT(--(('その４建物別情報（住宅）_入力シート（非公開）'!$BL$11:$BL$2086=マスタ!$C$7)
                                            *('その４建物別情報（住宅）_入力シート（非公開）'!$N$11:$N$2086=$N$7)))
        =$P10, $N$7,$O$7)</f>
        <v>適合</v>
      </c>
      <c r="AA10" s="106" t="s">
        <v>301</v>
      </c>
      <c r="AB10" s="105" t="s">
        <v>298</v>
      </c>
      <c r="AC10" s="104" t="str" cm="1">
        <f t="array" ref="AC10">IF(SUMPRODUCT(--(('その４建物別情報（住宅）_入力シート（非公開）'!$BL$11:$BL$2086=マスタ!$C$6)
                                            *('その４建物別情報（住宅）_入力シート（非公開）'!$P$11:$P$2086=$N$7)))
        =$N10, $N$7,$O$7)</f>
        <v>適合</v>
      </c>
      <c r="AD10" s="79" t="s">
        <v>299</v>
      </c>
      <c r="AE10" s="104" t="str" cm="1">
        <f t="array" ref="AE10">IF(SUMPRODUCT(--(('その４建物別情報（住宅）_入力シート（非公開）'!$BL$11:$BL$2086=マスタ!$C$7)
                                            *('その４建物別情報（住宅）_入力シート（非公開）'!$P$11:$P$2086=$N$7)))
        =$P10, $N$7,$O$7)</f>
        <v>適合</v>
      </c>
      <c r="AF10" s="106" t="s">
        <v>375</v>
      </c>
      <c r="AG10" s="128" t="s">
        <v>374</v>
      </c>
      <c r="AH10" s="106">
        <f ca="1">SUMIF(OFFSET('その４建物別情報（住宅）_入力シート（非公開）'!$BL$11,0,0,COUNTA('その４建物別情報（住宅）_入力シート（非公開）'!$C:$C)-2,1),マスタ!$C$6,
                OFFSET('その４建物別情報（住宅）_入力シート（非公開）'!$R$11,0,0,COUNTA('その４建物別情報（住宅）_入力シート（非公開）'!$C:$C)-2,1))
+SUMIF(OFFSET('その４建物別情報（住宅）_入力シート（非公開）'!$BL$11,0,0,COUNTA('その４建物別情報（住宅）_入力シート（非公開）'!$C:$C)-2,1),マスタ!$C$7,
                OFFSET('その４建物別情報（住宅）_入力シート（非公開）'!$R$11,0,0,COUNTA('その４建物別情報（住宅）_入力シート（非公開）'!$C:$C)-2,1))</f>
        <v>80</v>
      </c>
      <c r="AI10" s="128" t="s">
        <v>377</v>
      </c>
      <c r="AJ10" s="104">
        <f ca="1">SUMIF(OFFSET('その４建物別情報（住宅）_入力シート（非公開）'!$BL$11,0,0,COUNTA('その４建物別情報（住宅）_入力シート（非公開）'!$C:$C)-2,1),マスタ!$C$6,
                OFFSET('その４建物別情報（住宅）_入力シート（非公開）'!$Q$11,0,0,COUNTA('その４建物別情報（住宅）_入力シート（非公開）'!$C:$C)-2,1))
+SUMIF(OFFSET('その４建物別情報（住宅）_入力シート（非公開）'!$BL$11,0,0,COUNTA('その４建物別情報（住宅）_入力シート（非公開）'!$C:$C)-2,1),マスタ!$C$7,
                OFFSET('その４建物別情報（住宅）_入力シート（非公開）'!$Q$11,0,0,COUNTA('その４建物別情報（住宅）_入力シート（非公開）'!$C:$C)-2,1))</f>
        <v>100</v>
      </c>
      <c r="AK10" s="106" t="s">
        <v>376</v>
      </c>
      <c r="AL10" s="105" t="s">
        <v>378</v>
      </c>
      <c r="AM10" s="104">
        <f ca="1">SUMIF(OFFSET('その４建物別情報（住宅）_入力シート（非公開）'!$BL$11,0,0,COUNTA('その４建物別情報（住宅）_入力シート（非公開）'!$C:$C)-2,1),マスタ!$C$6,
                OFFSET('その４建物別情報（住宅）_入力シート（非公開）'!$W$11,0,0,COUNTA('その４建物別情報（住宅）_入力シート（非公開）'!$C:$C)-2,1))
+SUMIF(OFFSET('その４建物別情報（住宅）_入力シート（非公開）'!$BL$11,0,0,COUNTA('その４建物別情報（住宅）_入力シート（非公開）'!$C:$C)-2,1),マスタ!$C$7,
                OFFSET('その４建物別情報（住宅）_入力シート（非公開）'!$W$11,0,0,COUNTA('その４建物別情報（住宅）_入力シート（非公開）'!$C:$C)-2,1))</f>
        <v>70</v>
      </c>
      <c r="AN10" s="79" t="s">
        <v>379</v>
      </c>
      <c r="AO10" s="104">
        <f ca="1">SUMIF(OFFSET('その４建物別情報（住宅）_入力シート（非公開）'!$BL$11,0,0,COUNTA('その４建物別情報（住宅）_入力シート（非公開）'!$C:$C)-2,1),マスタ!$C$6,
                OFFSET('その４建物別情報（住宅）_入力シート（非公開）'!$V$11,0,0,COUNTA('その４建物別情報（住宅）_入力シート（非公開）'!$C:$C)-2,1))
+SUMIF(OFFSET('その４建物別情報（住宅）_入力シート（非公開）'!$BL$11,0,0,COUNTA('その４建物別情報（住宅）_入力シート（非公開）'!$C:$C)-2,1),マスタ!$C$7,
                OFFSET('その４建物別情報（住宅）_入力シート（非公開）'!$V$11,0,0,COUNTA('その４建物別情報（住宅）_入力シート（非公開）'!$C:$C)-2,1))</f>
        <v>100</v>
      </c>
    </row>
    <row r="11" spans="2:41">
      <c r="C11" s="272" t="s">
        <v>41</v>
      </c>
      <c r="D11" s="273"/>
      <c r="E11" s="100" t="str">
        <f>IF($N11+$P11=0,  $P$7, MAX($S11,$U11))</f>
        <v>―</v>
      </c>
      <c r="F11" s="3" t="str">
        <f>IF($E11=$P$7, $P$7,IF(AND($X11=$N$7, $Z11=$N$7), $N$7, $O$7))</f>
        <v>―</v>
      </c>
      <c r="G11" s="3" t="str">
        <f>IF($E11=$P$7, $P$7,IF(AND($AC11=$N$7, $AE11=$N$7), $N$7, $O$7))</f>
        <v>―</v>
      </c>
      <c r="H11" s="102" t="str">
        <f>IF($N11+$P11=0, $P$7, MAX($AH11,$AJ11))</f>
        <v>―</v>
      </c>
      <c r="I11" s="3" t="str">
        <f>IF($H11=$P$7,$P$7,
        IF($H11&lt;=1,$N$7,$O$7))</f>
        <v>―</v>
      </c>
      <c r="J11" s="102" t="str">
        <f>IF($N11+$P11=0, $P$7, MAX($AM11,$AO11))</f>
        <v>―</v>
      </c>
      <c r="K11" s="3" t="str">
        <f>IF($J11=$P$7,$P$7,
        IF($J11&lt;=0.8,$N$7,$O$7))</f>
        <v>―</v>
      </c>
      <c r="M11" s="79" t="s">
        <v>311</v>
      </c>
      <c r="N11" s="96" cm="1">
        <f t="array" ref="N11">SUMPRODUCT(--(('その４建物別情報（住宅）_入力シート（非公開）'!$BL$11:$BL$2086=マスタ!$C$5)))</f>
        <v>0</v>
      </c>
      <c r="O11" s="79" t="s">
        <v>312</v>
      </c>
      <c r="P11" s="80" cm="1">
        <f t="array" ref="P11">SUMPRODUCT(--(('その４建物別情報（住宅）_入力シート（非公開）'!$BL$11:$BL$2086=マスタ!$C$8)))</f>
        <v>0</v>
      </c>
      <c r="Q11" s="106" t="s">
        <v>297</v>
      </c>
      <c r="R11" s="105" t="s">
        <v>303</v>
      </c>
      <c r="S11" s="104">
        <f t="array" aca="1" ref="S11" ca="1">MAX(IF(OFFSET('その４建物別情報（住宅）_入力シート（非公開）'!$BL$11, 0, 0, COUNTA('その４建物別情報（住宅）_入力シート（非公開）'!$C:$C)-2, 1)=マスタ!$C$5,
     OFFSET('その４建物別情報（住宅）_入力シート（非公開）'!$BM$11, 0, 0, COUNTA('その４建物別情報（住宅）_入力シート（非公開）'!$C:$C)-2, 1)))</f>
        <v>0</v>
      </c>
      <c r="T11" s="79" t="s">
        <v>302</v>
      </c>
      <c r="U11" s="104">
        <f t="array" aca="1" ref="U11" ca="1">MAX(IF(OFFSET('その４建物別情報（住宅）_入力シート（非公開）'!$BL$11, 0, 0, COUNTA('その４建物別情報（住宅）_入力シート（非公開）'!$C:$C)-2, 1)=マスタ!$C$8,
     OFFSET('その４建物別情報（住宅）_入力シート（非公開）'!$BM$11, 0, 0, COUNTA('その４建物別情報（住宅）_入力シート（非公開）'!$C:$C)-2, 1)))</f>
        <v>0</v>
      </c>
      <c r="V11" s="106" t="s">
        <v>300</v>
      </c>
      <c r="W11" s="105" t="s">
        <v>303</v>
      </c>
      <c r="X11" s="104" t="str" cm="1">
        <f t="array" ref="X11">IF(SUMPRODUCT(--(('その４建物別情報（住宅）_入力シート（非公開）'!$BL$11:$BL$2086=マスタ!$C$5)
                                            *('その４建物別情報（住宅）_入力シート（非公開）'!$N$11:$N$2086=$N$7)))
        =$N11, $N$7,$O$7)</f>
        <v>適合</v>
      </c>
      <c r="Y11" s="79" t="s">
        <v>302</v>
      </c>
      <c r="Z11" s="104" t="str" cm="1">
        <f t="array" ref="Z11">IF(SUMPRODUCT(--(('その４建物別情報（住宅）_入力シート（非公開）'!$BL$11:$BL$2086=マスタ!$C$8)
                                            *('その４建物別情報（住宅）_入力シート（非公開）'!$N$11:$N$2086=$N$7)))
        =$P11, $N$7,$O$7)</f>
        <v>適合</v>
      </c>
      <c r="AA11" s="106" t="s">
        <v>301</v>
      </c>
      <c r="AB11" s="105" t="s">
        <v>303</v>
      </c>
      <c r="AC11" s="104" t="str" cm="1">
        <f t="array" ref="AC11">IF(SUMPRODUCT(--(('その４建物別情報（住宅）_入力シート（非公開）'!$BL$11:$BL$2086=マスタ!$C$5)
                                            *('その４建物別情報（住宅）_入力シート（非公開）'!$P$11:$P$2086=$N$7)))
        =$N11, $N$7,$O$7)</f>
        <v>適合</v>
      </c>
      <c r="AD11" s="79" t="s">
        <v>302</v>
      </c>
      <c r="AE11" s="104" t="str" cm="1">
        <f t="array" ref="AE11">IF(SUMPRODUCT(--(('その４建物別情報（住宅）_入力シート（非公開）'!$BL$11:$BL$2086=マスタ!$C$8)
                                            *('その４建物別情報（住宅）_入力シート（非公開）'!$P$11:$P$2086=$N$7)))
        =$P11, $N$7,$O$7)</f>
        <v>適合</v>
      </c>
      <c r="AF11" s="106" t="s">
        <v>304</v>
      </c>
      <c r="AG11" s="105" t="s">
        <v>303</v>
      </c>
      <c r="AH11" s="104">
        <f t="array" aca="1" ref="AH11" ca="1">MAX(IF(OFFSET('その４建物別情報（住宅）_入力シート（非公開）'!$BL$11, 0, 0, COUNTA('その４建物別情報（住宅）_入力シート（非公開）'!$C:$C)-2, 1)=マスタ!$C$5,
     OFFSET('その４建物別情報（住宅）_入力シート（非公開）'!$BO$11, 0, 0, COUNTA('その４建物別情報（住宅）_入力シート（非公開）'!$C:$C)-2, 1)))</f>
        <v>0</v>
      </c>
      <c r="AI11" s="79" t="s">
        <v>302</v>
      </c>
      <c r="AJ11" s="104">
        <f t="array" aca="1" ref="AJ11" ca="1">MAX(IF(OFFSET('その４建物別情報（住宅）_入力シート（非公開）'!$BL$11, 0, 0, COUNTA('その４建物別情報（住宅）_入力シート（非公開）'!$C:$C)-2, 1)=マスタ!$C$8,
     OFFSET('その４建物別情報（住宅）_入力シート（非公開）'!$BO$11, 0, 0, COUNTA('その４建物別情報（住宅）_入力シート（非公開）'!$C:$C)-2, 1)))</f>
        <v>0</v>
      </c>
      <c r="AK11" s="106" t="s">
        <v>305</v>
      </c>
      <c r="AL11" s="105" t="s">
        <v>303</v>
      </c>
      <c r="AM11" s="104">
        <f t="array" aca="1" ref="AM11" ca="1">MAX(IF(OFFSET('その４建物別情報（住宅）_入力シート（非公開）'!$BL$11, 0, 0, COUNTA('その４建物別情報（住宅）_入力シート（非公開）'!$C:$C)-2, 1)=マスタ!$C$5,
     OFFSET('その４建物別情報（住宅）_入力シート（非公開）'!$BP$11, 0, 0, COUNTA('その４建物別情報（住宅）_入力シート（非公開）'!$C:$C)-2, 1)))</f>
        <v>0</v>
      </c>
      <c r="AN11" s="79" t="s">
        <v>302</v>
      </c>
      <c r="AO11" s="104">
        <f t="array" aca="1" ref="AO11" ca="1">MAX(IF(OFFSET('その４建物別情報（住宅）_入力シート（非公開）'!$BL$11, 0, 0, COUNTA('その４建物別情報（住宅）_入力シート（非公開）'!$C:$C)-2, 1)=マスタ!$C$8,
     OFFSET('その４建物別情報（住宅）_入力シート（非公開）'!$BP$11, 0, 0, COUNTA('その４建物別情報（住宅）_入力シート（非公開）'!$C:$C)-2, 1)))</f>
        <v>0</v>
      </c>
    </row>
    <row r="12" spans="2:41" ht="15" customHeight="1">
      <c r="E12" s="5"/>
      <c r="F12" s="5"/>
    </row>
    <row r="13" spans="2:41" ht="15" customHeight="1">
      <c r="C13" s="8" t="s">
        <v>42</v>
      </c>
      <c r="E13" s="5"/>
      <c r="F13" s="5"/>
      <c r="I13" s="11"/>
      <c r="J13" s="11"/>
    </row>
    <row r="14" spans="2:41" ht="15.75" customHeight="1">
      <c r="C14" s="268" t="s">
        <v>43</v>
      </c>
      <c r="D14" s="269"/>
      <c r="E14" s="232" t="s">
        <v>30</v>
      </c>
      <c r="F14" s="232"/>
      <c r="G14" s="232"/>
      <c r="H14" s="264" t="s">
        <v>31</v>
      </c>
      <c r="I14" s="265"/>
      <c r="J14" s="265"/>
      <c r="K14" s="266"/>
    </row>
    <row r="15" spans="2:41" ht="54">
      <c r="C15" s="270"/>
      <c r="D15" s="271"/>
      <c r="E15" s="7" t="s">
        <v>44</v>
      </c>
      <c r="F15" s="35" t="s">
        <v>33</v>
      </c>
      <c r="G15" s="6" t="s">
        <v>34</v>
      </c>
      <c r="H15" s="6" t="s">
        <v>45</v>
      </c>
      <c r="I15" s="6" t="s">
        <v>36</v>
      </c>
      <c r="J15" s="35" t="s">
        <v>46</v>
      </c>
      <c r="K15" s="6" t="s">
        <v>34</v>
      </c>
    </row>
    <row r="16" spans="2:41">
      <c r="C16" s="272" t="s">
        <v>47</v>
      </c>
      <c r="D16" s="274"/>
      <c r="E16" s="102" t="str">
        <f t="array" aca="1" ref="E16" ca="1">IF(OR($N16 = 0, $N16=$P16),  "―",
   MAX(IF(OFFSET('その４建物別情報（非住宅）_入力シート（非公開）'!$J$11, 0, 0, COUNTA('その４建物別情報（住宅）_入力シート（非公開）'!$C:$C)-2, 1) &gt;= 300,
       OFFSET('その４建物別情報（非住宅）_入力シート（非公開）'!$M$11, 0, 0, COUNTA('その４建物別情報（住宅）_入力シート（非公開）'!$C:$C)-2, 1))))</f>
        <v>―</v>
      </c>
      <c r="F16" s="3" t="str">
        <f ca="1">IF($E16=$P$7,$P$7,IF($E16&lt;=1, $N$7, $O$7))</f>
        <v>―</v>
      </c>
      <c r="G16" s="3" t="str">
        <f ca="1">IF($E16=$P$7,$P$7,IF($E16&lt;=1, $N$7, $O$7))</f>
        <v>―</v>
      </c>
      <c r="H16" s="102" t="str">
        <f t="array" aca="1" ref="H16" ca="1">IF($N16 = 0, "―", MAX(IF(OFFSET('その４建物別情報（非住宅）_入力シート（非公開）'!$J$11, 0, 0, COUNTA('その４建物別情報（住宅）_入力シート（非公開）'!$C:$C)-2, 1) &gt;= 300, OFFSET('その４建物別情報（非住宅）_入力シート（非公開）'!$R$11, 0, 0, COUNTA('その４建物別情報（住宅）_入力シート（非公開）'!$C:$C)-2, 1))))</f>
        <v>―</v>
      </c>
      <c r="I16" s="3" t="str">
        <f ca="1">IF($H16=$P$7,$P$7,IF($H16&lt;=1, $N$7, $O$7))</f>
        <v>―</v>
      </c>
      <c r="J16" s="102" t="str">
        <f t="array" aca="1" ref="J16" ca="1">IF($N16 = 0, "―", MAX(IF(OFFSET('その４建物別情報（非住宅）_入力シート（非公開）'!$J$11, 0, 0, COUNTA('その４建物別情報（住宅）_入力シート（非公開）'!$C:$C)-2, 1) &gt;= 300, OFFSET('その４建物別情報（非住宅）_入力シート（非公開）'!$V$11, 0, 0, COUNTA('その４建物別情報（住宅）_入力シート（非公開）'!$C:$C)-2, 1))))</f>
        <v>―</v>
      </c>
      <c r="K16" s="3" t="str" cm="1">
        <f t="array" aca="1" ref="K16" ca="1">IF($J16=$P$7,$P$7,
        IF(SUMPRODUCT(--(('その４建物別情報（非住宅）_入力シート（非公開）'!$J$11:$J$2020&gt;=300)
                                              *('その４建物別情報（非住宅）_入力シート（非公開）'!$W$11:$W$2020=$N$7)))
             =$N16, $N$7, $O$7))</f>
        <v>―</v>
      </c>
      <c r="M16" s="79" t="s">
        <v>306</v>
      </c>
      <c r="N16" s="96" cm="1">
        <f t="array" ref="N16">SUMPRODUCT(--(('その４建物別情報（非住宅）_入力シート（非公開）'!$J$11:$J$2020 &gt;= 300)))</f>
        <v>0</v>
      </c>
      <c r="O16" s="79" t="s">
        <v>386</v>
      </c>
      <c r="P16" s="96" cm="1">
        <f t="array" ref="P16">SUMPRODUCT(--(('その４建物別情報（非住宅）_入力シート（非公開）'!$J$11:$J$2020 &gt;= 300)
                                    *('その４建物別情報（非住宅）_入力シート（非公開）'!$G$11:$G$2020 = マスタ!$J$11)))</f>
        <v>0</v>
      </c>
    </row>
    <row r="17" spans="3:26">
      <c r="C17" s="272" t="s">
        <v>48</v>
      </c>
      <c r="D17" s="274"/>
      <c r="E17" s="102">
        <f t="array" aca="1" ref="E17" ca="1">IF(OR($N17 = 0, $N17=$P17), "―",
   MAX(IF(OFFSET('その４建物別情報（非住宅）_入力シート（非公開）'!$J$11, 0, 0, COUNTA('その４建物別情報（住宅）_入力シート（非公開）'!$C:$C)-2, 1) &lt; 300,
       OFFSET('その４建物別情報（非住宅）_入力シート（非公開）'!$M$11, 0, 0, COUNTA('その４建物別情報（住宅）_入力シート（非公開）'!$C:$C)-2, 1))))</f>
        <v>0</v>
      </c>
      <c r="F17" s="3" t="str">
        <f ca="1">IF($E17=$P$7,$P$7,IF($E17&lt;=1, $N$7, $O$7))</f>
        <v>適合</v>
      </c>
      <c r="G17" s="3" t="str">
        <f ca="1">IF($E17=$P$7,$P$7,IF($E17&lt;=1, $N$7, $O$7))</f>
        <v>適合</v>
      </c>
      <c r="H17" s="102">
        <f t="array" aca="1" ref="H17" ca="1">IF($N17 = 0, "―", MAX(IF(OFFSET('その４建物別情報（非住宅）_入力シート（非公開）'!$J$11, 0, 0, COUNTA('その４建物別情報（住宅）_入力シート（非公開）'!$C:$C)-2, 1) &lt; 300, OFFSET('その４建物別情報（非住宅）_入力シート（非公開）'!$R$11, 0, 0, COUNTA('その４建物別情報（住宅）_入力シート（非公開）'!$C:$C)-2, 1))))</f>
        <v>0</v>
      </c>
      <c r="I17" s="3" t="str">
        <f ca="1">IF($H17=$P$7,$P$7,IF($H17&lt;=1, $N$7, $O$7))</f>
        <v>適合</v>
      </c>
      <c r="J17" s="102">
        <f t="array" aca="1" ref="J17" ca="1">IF($N17 = 0, "―", MAX(IF(OFFSET('その４建物別情報（非住宅）_入力シート（非公開）'!$J$11, 0, 0, COUNTA('その４建物別情報（住宅）_入力シート（非公開）'!$C:$C)-2, 1) &lt; 300, OFFSET('その４建物別情報（非住宅）_入力シート（非公開）'!$V$11, 0, 0, COUNTA('その４建物別情報（住宅）_入力シート（非公開）'!$C:$C)-2, 1))))</f>
        <v>0</v>
      </c>
      <c r="K17" s="3" t="str">
        <f ca="1">IF($J17=$P$7,$P$7,IF($J17&lt;=0.8, $N$7, $O$7))</f>
        <v>適合</v>
      </c>
      <c r="M17" s="79" t="s">
        <v>306</v>
      </c>
      <c r="N17" s="96" cm="1">
        <f t="array" ref="N17">SUMPRODUCT(--(('その４建物別情報（非住宅）_入力シート（非公開）'!$J$11:$J$2020 &lt; 300)
                                   * ('その４建物別情報（非住宅）_入力シート（非公開）'!$J$11:$J$2020 &lt;&gt; "")))</f>
        <v>1</v>
      </c>
      <c r="O17" s="79" t="s">
        <v>386</v>
      </c>
      <c r="P17" s="96" cm="1">
        <f t="array" ref="P17">SUMPRODUCT(--(('その４建物別情報（非住宅）_入力シート（非公開）'!$J$11:$J$2020 &lt; 300)
                                   * ('その４建物別情報（非住宅）_入力シート（非公開）'!$J$11:$J$2020 &lt;&gt; "")
                                   *('その４建物別情報（非住宅）_入力シート（非公開）'!$G$11:$G$2020 = マスタ!$J$11)))</f>
        <v>0</v>
      </c>
    </row>
    <row r="19" spans="3:26">
      <c r="C19" s="1" t="s">
        <v>49</v>
      </c>
      <c r="H19" s="10"/>
      <c r="I19" s="10"/>
      <c r="J19" s="10"/>
      <c r="K19" s="10"/>
    </row>
    <row r="20" spans="3:26" ht="54">
      <c r="C20" s="275" t="s">
        <v>43</v>
      </c>
      <c r="D20" s="276"/>
      <c r="E20" s="34" t="s">
        <v>33</v>
      </c>
      <c r="F20" s="6" t="s">
        <v>34</v>
      </c>
      <c r="H20" s="10"/>
      <c r="I20" s="10"/>
      <c r="J20" s="10"/>
      <c r="K20" s="10"/>
    </row>
    <row r="21" spans="3:26">
      <c r="C21" s="272" t="s">
        <v>50</v>
      </c>
      <c r="D21" s="274"/>
      <c r="E21" s="3" t="str">
        <f ca="1">IF('その６再エネ基準量_（非公開）'!$I$29="", "―", 'その６再エネ基準量_（非公開）'!$I$29)</f>
        <v>―</v>
      </c>
      <c r="F21" s="3" t="str">
        <f ca="1">IF('その６再エネ基準量_（非公開）'!$I$30="", "―", 'その６再エネ基準量_（非公開）'!$I$30)</f>
        <v>―</v>
      </c>
      <c r="H21" s="10"/>
      <c r="I21" s="10"/>
      <c r="J21" s="10"/>
      <c r="K21" s="10"/>
    </row>
    <row r="22" spans="3:26">
      <c r="H22" s="10"/>
      <c r="I22" s="10"/>
      <c r="J22" s="10"/>
      <c r="K22" s="10"/>
    </row>
    <row r="23" spans="3:26" ht="15" customHeight="1">
      <c r="C23" s="1" t="s">
        <v>51</v>
      </c>
      <c r="H23" s="10"/>
      <c r="I23" s="10"/>
      <c r="J23" s="10"/>
      <c r="K23" s="10"/>
    </row>
    <row r="24" spans="3:26" ht="54">
      <c r="C24" s="267" t="s">
        <v>43</v>
      </c>
      <c r="D24" s="267"/>
      <c r="E24" s="6" t="s">
        <v>33</v>
      </c>
      <c r="F24" s="6" t="s">
        <v>34</v>
      </c>
      <c r="H24" s="10"/>
      <c r="I24" s="10"/>
      <c r="J24" s="10"/>
      <c r="K24" s="10"/>
    </row>
    <row r="25" spans="3:26">
      <c r="C25" s="226" t="s">
        <v>52</v>
      </c>
      <c r="D25" s="228"/>
      <c r="E25" s="111" t="str">
        <f>IF($T25 = $N25, $P$7,
        IF($R25 &gt;= 1, $O$7,
             IF($P25 = $N25-$T25, $N$7, "")))</f>
        <v>―</v>
      </c>
      <c r="F25" s="111" t="str">
        <f>IF($Z25 = $N25, $P$7,
        IF($X25 &gt;= 1, $O$7,
             IF($V25 = $N25-$Z25, $N$7, "")))</f>
        <v>―</v>
      </c>
      <c r="H25" s="10"/>
      <c r="I25" s="10"/>
      <c r="J25" s="10"/>
      <c r="K25" s="10"/>
      <c r="M25" s="79" t="s">
        <v>306</v>
      </c>
      <c r="N25" s="96">
        <f>SUM($N$8,$N$9,$N$11)</f>
        <v>0</v>
      </c>
      <c r="O25" s="79" t="s">
        <v>300</v>
      </c>
      <c r="P25" s="96" cm="1">
        <f t="array" ref="P25">SUMPRODUCT(--((('その４建物別情報（住宅）_入力シート（非公開）'!$BL$11:$BL$2086=マスタ!$C$3)
                                        +('その４建物別情報（住宅）_入力シート（非公開）'!$BL$11:$BL$2086=マスタ!$C$4)
                                        +('その４建物別情報（住宅）_入力シート（非公開）'!$BL$11:$BL$2086=マスタ!$C$5))
                                      *('その４建物別情報（住宅）_入力シート（非公開）'!$AR$11:$AR$2086=$N$7)))</f>
        <v>0</v>
      </c>
      <c r="Q25" s="79" t="s">
        <v>316</v>
      </c>
      <c r="R25" s="96" cm="1">
        <f t="array" ref="R25">SUMPRODUCT(--((('その４建物別情報（住宅）_入力シート（非公開）'!$BL$11:$BL$2086=マスタ!$C$3)
                                        +('その４建物別情報（住宅）_入力シート（非公開）'!$BL$11:$BL$2086=マスタ!$C$4)
                                        +('その４建物別情報（住宅）_入力シート（非公開）'!$BL$11:$BL$2086=マスタ!$C$5))
                                      *('その４建物別情報（住宅）_入力シート（非公開）'!$AR$11:$AR$2086=$O$7)))</f>
        <v>0</v>
      </c>
      <c r="S25" s="79" t="s">
        <v>315</v>
      </c>
      <c r="T25" s="96" cm="1">
        <f t="array" ref="T25">SUMPRODUCT(--((('その４建物別情報（住宅）_入力シート（非公開）'!$BL$11:$BL$2086=マスタ!$C$3)
                                        +('その４建物別情報（住宅）_入力シート（非公開）'!$BL$11:$BL$2086=マスタ!$C$4)
                                        +('その４建物別情報（住宅）_入力シート（非公開）'!$BL$11:$BL$2086=マスタ!$C$5))
                                      *('その４建物別情報（住宅）_入力シート（非公開）'!$AR$11:$AR$2086=$P$7)))</f>
        <v>0</v>
      </c>
      <c r="U25" s="79" t="s">
        <v>301</v>
      </c>
      <c r="V25" s="96" cm="1">
        <f t="array" ref="V25">SUMPRODUCT(--((('その４建物別情報（住宅）_入力シート（非公開）'!$BL$11:$BL$2086=マスタ!$C$3)
                                        +('その４建物別情報（住宅）_入力シート（非公開）'!$BL$11:$BL$2086=マスタ!$C$4)
                                        +('その４建物別情報（住宅）_入力シート（非公開）'!$BL$11:$BL$2086=マスタ!$C$5))
                                      *('その４建物別情報（住宅）_入力シート（非公開）'!$AS$11:$AS$2086=$N$7)))</f>
        <v>0</v>
      </c>
      <c r="W25" s="79" t="s">
        <v>318</v>
      </c>
      <c r="X25" s="96" cm="1">
        <f t="array" ref="X25">SUMPRODUCT(--((('その４建物別情報（住宅）_入力シート（非公開）'!$BL$11:$BL$2086=マスタ!$C$3)
                                        +('その４建物別情報（住宅）_入力シート（非公開）'!$BL$11:$BL$2086=マスタ!$C$4)
                                        +('その４建物別情報（住宅）_入力シート（非公開）'!$BL$11:$BL$2086=マスタ!$C$5))
                                      *('その４建物別情報（住宅）_入力シート（非公開）'!$AS$11:$AS$2086=$O$7)))</f>
        <v>0</v>
      </c>
      <c r="Y25" s="79" t="s">
        <v>314</v>
      </c>
      <c r="Z25" s="96" cm="1">
        <f t="array" ref="Z25">SUMPRODUCT(--((('その４建物別情報（住宅）_入力シート（非公開）'!$BL$11:$BL$2086=マスタ!$C$3)
                                        +('その４建物別情報（住宅）_入力シート（非公開）'!$BL$11:$BL$2086=マスタ!$C$4)
                                        +('その４建物別情報（住宅）_入力シート（非公開）'!$BL$11:$BL$2086=マスタ!$C$5))
                                      *('その４建物別情報（住宅）_入力シート（非公開）'!$AS$11:$AS$2086=$P$7)))</f>
        <v>0</v>
      </c>
    </row>
    <row r="26" spans="3:26">
      <c r="C26" s="277" t="s">
        <v>53</v>
      </c>
      <c r="D26" s="2" t="s">
        <v>40</v>
      </c>
      <c r="E26" s="111" t="str">
        <f>IF($T26 = $N26, $P$7,
        IF($R26 &gt;= 1, $O$7,
             IF($P26 = $N26-$T26, $N$7, "")))</f>
        <v>―</v>
      </c>
      <c r="F26" s="111" t="str">
        <f>IF($Z26 = $N26, $P$7,
        IF($X26 &gt;= 1, $O$7,
             IF($V26 = $N26-$Z26, $N$7, "")))</f>
        <v>適合しない</v>
      </c>
      <c r="H26" s="10"/>
      <c r="I26" s="10"/>
      <c r="J26" s="10"/>
      <c r="K26" s="10"/>
      <c r="M26" s="79" t="s">
        <v>306</v>
      </c>
      <c r="N26" s="96">
        <f>SUM($N$10,$P$10,P11)</f>
        <v>1</v>
      </c>
      <c r="O26" s="79" t="s">
        <v>300</v>
      </c>
      <c r="P26" s="96" cm="1">
        <f t="array" ref="P26">SUMPRODUCT(--((('その４建物別情報（住宅）_入力シート（非公開）'!$BL$11:$BL$2086=マスタ!$C$6)
                                        +('その４建物別情報（住宅）_入力シート（非公開）'!$BL$11:$BL$2086=マスタ!$C$7)
                                        +('その４建物別情報（住宅）_入力シート（非公開）'!$BL$11:$BL$2086=マスタ!$C$8))
                                      *('その４建物別情報（住宅）_入力シート（非公開）'!$AR$11:$AR$2086=$N$7)))</f>
        <v>0</v>
      </c>
      <c r="Q26" s="79" t="s">
        <v>316</v>
      </c>
      <c r="R26" s="96" cm="1">
        <f t="array" ref="R26">SUMPRODUCT(--((('その４建物別情報（住宅）_入力シート（非公開）'!$BL$11:$BL$2086=マスタ!$C$6)
                                        +('その４建物別情報（住宅）_入力シート（非公開）'!$BL$11:$BL$2086=マスタ!$C$7)
                                        +('その４建物別情報（住宅）_入力シート（非公開）'!$BL$11:$BL$2086=マスタ!$C$8))
                                      *('その４建物別情報（住宅）_入力シート（非公開）'!$AR$11:$AR$2086=$O$7)))</f>
        <v>0</v>
      </c>
      <c r="S26" s="79" t="s">
        <v>315</v>
      </c>
      <c r="T26" s="96" cm="1">
        <f t="array" ref="T26">SUMPRODUCT(--((('その４建物別情報（住宅）_入力シート（非公開）'!$BL$11:$BL$2086=マスタ!$C$6)
                                        +('その４建物別情報（住宅）_入力シート（非公開）'!$BL$11:$BL$2086=マスタ!$C$7)
                                        +('その４建物別情報（住宅）_入力シート（非公開）'!$BL$11:$BL$2086=マスタ!$C$8))
                                      *('その４建物別情報（住宅）_入力シート（非公開）'!$AR$11:$AR$2086=$P$7)))</f>
        <v>1</v>
      </c>
      <c r="U26" s="79" t="s">
        <v>301</v>
      </c>
      <c r="V26" s="96" cm="1">
        <f t="array" ref="V26">SUMPRODUCT(--((('その４建物別情報（住宅）_入力シート（非公開）'!$BL$11:$BL$2086=マスタ!$C$6)
                                        +('その４建物別情報（住宅）_入力シート（非公開）'!$BL$11:$BL$2086=マスタ!$C$7)
                                        +('その４建物別情報（住宅）_入力シート（非公開）'!$BL$11:$BL$2086=マスタ!$C$8))
                                      *('その４建物別情報（住宅）_入力シート（非公開）'!$AS$11:$AS$2086=$N$7)))</f>
        <v>0</v>
      </c>
      <c r="W26" s="79" t="s">
        <v>318</v>
      </c>
      <c r="X26" s="96" cm="1">
        <f t="array" ref="X26">SUMPRODUCT(--((('その４建物別情報（住宅）_入力シート（非公開）'!$BL$11:$BL$2086=マスタ!$C$6)
                                        +('その４建物別情報（住宅）_入力シート（非公開）'!$BL$11:$BL$2086=マスタ!$C$7)
                                        +('その４建物別情報（住宅）_入力シート（非公開）'!$BL$11:$BL$2086=マスタ!$C$8))
                                      *('その４建物別情報（住宅）_入力シート（非公開）'!$AS$11:$AS$2086=$O$7)))</f>
        <v>1</v>
      </c>
      <c r="Y26" s="79" t="s">
        <v>314</v>
      </c>
      <c r="Z26" s="96" cm="1">
        <f t="array" ref="Z26">SUMPRODUCT(--((('その４建物別情報（住宅）_入力シート（非公開）'!$BL$11:$BL$2086=マスタ!$C$6)
                                        +('その４建物別情報（住宅）_入力シート（非公開）'!$BL$11:$BL$2086=マスタ!$C$7)
                                        +('その４建物別情報（住宅）_入力シート（非公開）'!$BL$11:$BL$2086=マスタ!$C$8))
                                      *('その４建物別情報（住宅）_入力シート（非公開）'!$AS$11:$AS$2086=$P$7)))</f>
        <v>0</v>
      </c>
    </row>
    <row r="27" spans="3:26">
      <c r="C27" s="277"/>
      <c r="D27" s="2" t="s">
        <v>54</v>
      </c>
      <c r="E27" s="111" t="str">
        <f>IF($T27 = $N27, $P$7,
        IF($R27 &gt;= 1, $O$7,
             IF($P27 = $N27-$T27, $N$7, "")))</f>
        <v>―</v>
      </c>
      <c r="F27" s="111" t="str">
        <f>IF($Z27 = $N27, $P$7,
        IF($X27 &gt;= 1, $O$7,
             IF($V27 = $N27-$Z27, $N$7, "")))</f>
        <v>―</v>
      </c>
      <c r="H27" s="10"/>
      <c r="I27" s="10"/>
      <c r="J27" s="10"/>
      <c r="K27" s="10"/>
      <c r="M27" s="79" t="s">
        <v>306</v>
      </c>
      <c r="N27" s="96">
        <f>SUM(N16:N17)</f>
        <v>1</v>
      </c>
      <c r="O27" s="79" t="s">
        <v>300</v>
      </c>
      <c r="P27" s="96" cm="1">
        <f t="array" ref="P27">SUMPRODUCT(--('その４建物別情報（非住宅）_入力シート（非公開）'!$AO$11:$AO$2020=$N$7))</f>
        <v>0</v>
      </c>
      <c r="Q27" s="79" t="s">
        <v>316</v>
      </c>
      <c r="R27" s="96" cm="1">
        <f t="array" ref="R27">SUMPRODUCT(--('その４建物別情報（非住宅）_入力シート（非公開）'!$AO$11:$AO$2020=$O$7))</f>
        <v>0</v>
      </c>
      <c r="S27" s="79" t="s">
        <v>315</v>
      </c>
      <c r="T27" s="96" cm="1">
        <f t="array" ref="T27">SUMPRODUCT(--('その４建物別情報（非住宅）_入力シート（非公開）'!$AO$11:$AO$2020=$P$7))</f>
        <v>1</v>
      </c>
      <c r="U27" s="79" t="s">
        <v>301</v>
      </c>
      <c r="V27" s="96" cm="1">
        <f t="array" ref="V27">SUMPRODUCT(--('その４建物別情報（非住宅）_入力シート（非公開）'!$AP$11:$AP$2020=$N$7))</f>
        <v>0</v>
      </c>
      <c r="W27" s="79" t="s">
        <v>318</v>
      </c>
      <c r="X27" s="96" cm="1">
        <f t="array" ref="X27">SUMPRODUCT(--('その４建物別情報（非住宅）_入力シート（非公開）'!$AP$11:$AP$2020=$O$7))</f>
        <v>0</v>
      </c>
      <c r="Y27" s="79" t="s">
        <v>314</v>
      </c>
      <c r="Z27" s="96" cm="1">
        <f t="array" ref="Z27">SUMPRODUCT(--('その４建物別情報（非住宅）_入力シート（非公開）'!$AP$11:$AP$2020=$P$7))</f>
        <v>1</v>
      </c>
    </row>
    <row r="28" spans="3:26" ht="118.5" customHeight="1">
      <c r="C28" s="10"/>
      <c r="D28" s="10"/>
      <c r="E28" s="10"/>
      <c r="F28" s="10"/>
      <c r="G28" s="10"/>
      <c r="H28" s="10"/>
      <c r="I28" s="10"/>
      <c r="J28" s="10"/>
      <c r="K28" s="10"/>
    </row>
    <row r="29" spans="3:26" ht="16.5" customHeight="1">
      <c r="C29" s="10"/>
      <c r="D29" s="10"/>
      <c r="E29" s="10"/>
      <c r="F29" s="10"/>
      <c r="G29" s="10"/>
      <c r="H29" s="10"/>
      <c r="I29" s="10"/>
      <c r="J29" s="10"/>
      <c r="K29" s="10"/>
    </row>
    <row r="30" spans="3:26" ht="16.5" customHeight="1"/>
    <row r="31" spans="3:26" ht="16.5" customHeight="1"/>
    <row r="32" spans="3:26" ht="16.5" customHeight="1"/>
    <row r="33" spans="3:15" ht="16.5" customHeight="1">
      <c r="C33" s="12"/>
    </row>
    <row r="34" spans="3:15" ht="16.5" customHeight="1"/>
    <row r="35" spans="3:15" ht="16.5" customHeight="1">
      <c r="C35" s="12"/>
    </row>
    <row r="36" spans="3:15" ht="16.5" customHeight="1"/>
    <row r="37" spans="3:15" ht="16.5" customHeight="1"/>
    <row r="38" spans="3:15" ht="16.5" customHeight="1"/>
    <row r="39" spans="3:15" ht="16.5" customHeight="1"/>
    <row r="40" spans="3:15" ht="16.5" customHeight="1">
      <c r="C40" s="12"/>
      <c r="O40" s="12"/>
    </row>
    <row r="41" spans="3:15" ht="16.5" customHeight="1"/>
    <row r="42" spans="3:15" ht="16.5" customHeight="1">
      <c r="C42" s="12"/>
      <c r="O42" s="12"/>
    </row>
  </sheetData>
  <mergeCells count="17">
    <mergeCell ref="C26:C27"/>
    <mergeCell ref="C25:D25"/>
    <mergeCell ref="H14:K14"/>
    <mergeCell ref="H6:K6"/>
    <mergeCell ref="E6:G6"/>
    <mergeCell ref="C24:D24"/>
    <mergeCell ref="C6:D7"/>
    <mergeCell ref="C11:D11"/>
    <mergeCell ref="C14:D15"/>
    <mergeCell ref="C16:D16"/>
    <mergeCell ref="C17:D17"/>
    <mergeCell ref="C20:D20"/>
    <mergeCell ref="E14:G14"/>
    <mergeCell ref="C8:D8"/>
    <mergeCell ref="C9:D9"/>
    <mergeCell ref="C21:D21"/>
    <mergeCell ref="C10:D10"/>
  </mergeCells>
  <phoneticPr fontId="1"/>
  <pageMargins left="0.70866141732283472" right="0.51181102362204722" top="0.55118110236220474" bottom="0.55118110236220474" header="0.31496062992125984" footer="0.31496062992125984"/>
  <pageSetup paperSize="9" scale="73" orientation="landscape"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4" tint="0.59999389629810485"/>
    <pageSetUpPr fitToPage="1"/>
  </sheetPr>
  <dimension ref="B1:I26"/>
  <sheetViews>
    <sheetView topLeftCell="A17" zoomScale="90" zoomScaleNormal="90" workbookViewId="0">
      <selection activeCell="D28" sqref="D28"/>
    </sheetView>
  </sheetViews>
  <sheetFormatPr defaultColWidth="9" defaultRowHeight="13.5"/>
  <cols>
    <col min="1" max="1" width="1.5" style="1" customWidth="1"/>
    <col min="2" max="2" width="3.125" style="1" customWidth="1"/>
    <col min="3" max="3" width="18.875" style="1" customWidth="1"/>
    <col min="4" max="4" width="31.25" style="1" customWidth="1"/>
    <col min="5" max="5" width="47.625" style="1" customWidth="1"/>
    <col min="6" max="6" width="71" style="1" customWidth="1"/>
    <col min="7" max="7" width="1.5" style="1" customWidth="1"/>
    <col min="8" max="16384" width="9" style="1"/>
  </cols>
  <sheetData>
    <row r="1" spans="2:9" ht="15" customHeight="1">
      <c r="B1" s="36" t="s">
        <v>55</v>
      </c>
    </row>
    <row r="2" spans="2:9" ht="9" customHeight="1"/>
    <row r="3" spans="2:9" ht="15" customHeight="1">
      <c r="B3" s="1" t="s">
        <v>56</v>
      </c>
    </row>
    <row r="4" spans="2:9" ht="18" customHeight="1">
      <c r="C4" s="4" t="s">
        <v>57</v>
      </c>
      <c r="D4" s="4" t="s">
        <v>58</v>
      </c>
      <c r="E4" s="4" t="s">
        <v>59</v>
      </c>
      <c r="F4" s="4" t="s">
        <v>60</v>
      </c>
    </row>
    <row r="5" spans="2:9" ht="34.9" customHeight="1">
      <c r="C5" s="280" t="s">
        <v>61</v>
      </c>
      <c r="D5" s="27" t="s">
        <v>62</v>
      </c>
      <c r="E5" s="2" t="s">
        <v>63</v>
      </c>
      <c r="F5" s="140"/>
      <c r="I5" s="85" t="s">
        <v>281</v>
      </c>
    </row>
    <row r="6" spans="2:9" ht="35.25" customHeight="1">
      <c r="C6" s="278"/>
      <c r="D6" s="280" t="s">
        <v>64</v>
      </c>
      <c r="E6" s="2" t="s">
        <v>65</v>
      </c>
      <c r="F6" s="140"/>
      <c r="I6" s="85" t="s">
        <v>282</v>
      </c>
    </row>
    <row r="7" spans="2:9" ht="35.25" customHeight="1">
      <c r="C7" s="278"/>
      <c r="D7" s="278"/>
      <c r="E7" s="2" t="s">
        <v>66</v>
      </c>
      <c r="F7" s="140"/>
      <c r="I7" s="85" t="s">
        <v>282</v>
      </c>
    </row>
    <row r="8" spans="2:9" ht="35.25" customHeight="1">
      <c r="C8" s="278"/>
      <c r="D8" s="279"/>
      <c r="E8" s="2" t="s">
        <v>67</v>
      </c>
      <c r="F8" s="140"/>
      <c r="G8" s="10"/>
      <c r="H8" s="10"/>
      <c r="I8" s="85" t="s">
        <v>282</v>
      </c>
    </row>
    <row r="9" spans="2:9" ht="35.25" customHeight="1">
      <c r="C9" s="278"/>
      <c r="D9" s="27" t="s">
        <v>68</v>
      </c>
      <c r="E9" s="2" t="s">
        <v>69</v>
      </c>
      <c r="F9" s="140"/>
      <c r="G9" s="10"/>
      <c r="H9" s="10"/>
      <c r="I9" s="85" t="s">
        <v>282</v>
      </c>
    </row>
    <row r="10" spans="2:9" ht="35.25" customHeight="1">
      <c r="C10" s="279"/>
      <c r="D10" s="27" t="s">
        <v>70</v>
      </c>
      <c r="E10" s="2" t="s">
        <v>71</v>
      </c>
      <c r="F10" s="140"/>
      <c r="I10" s="85" t="s">
        <v>282</v>
      </c>
    </row>
    <row r="11" spans="2:9" ht="35.25" customHeight="1">
      <c r="C11" s="280" t="s">
        <v>72</v>
      </c>
      <c r="D11" s="280" t="s">
        <v>73</v>
      </c>
      <c r="E11" s="2" t="s">
        <v>74</v>
      </c>
      <c r="F11" s="140"/>
      <c r="I11" s="85" t="s">
        <v>282</v>
      </c>
    </row>
    <row r="12" spans="2:9" ht="35.25" customHeight="1">
      <c r="C12" s="278"/>
      <c r="D12" s="278"/>
      <c r="E12" s="2" t="s">
        <v>75</v>
      </c>
      <c r="F12" s="140"/>
      <c r="I12" s="85" t="s">
        <v>282</v>
      </c>
    </row>
    <row r="13" spans="2:9" ht="35.25" customHeight="1">
      <c r="C13" s="278"/>
      <c r="D13" s="279"/>
      <c r="E13" s="2" t="s">
        <v>76</v>
      </c>
      <c r="F13" s="140"/>
      <c r="I13" s="85" t="s">
        <v>282</v>
      </c>
    </row>
    <row r="14" spans="2:9" ht="35.25" customHeight="1">
      <c r="C14" s="278"/>
      <c r="D14" s="280" t="s">
        <v>77</v>
      </c>
      <c r="E14" s="2" t="s">
        <v>78</v>
      </c>
      <c r="F14" s="140"/>
      <c r="I14" s="85" t="s">
        <v>282</v>
      </c>
    </row>
    <row r="15" spans="2:9" ht="35.25" customHeight="1">
      <c r="C15" s="278"/>
      <c r="D15" s="279"/>
      <c r="E15" s="2" t="s">
        <v>79</v>
      </c>
      <c r="F15" s="140"/>
      <c r="I15" s="85" t="s">
        <v>282</v>
      </c>
    </row>
    <row r="16" spans="2:9" ht="35.25" customHeight="1">
      <c r="C16" s="278"/>
      <c r="D16" s="280" t="s">
        <v>80</v>
      </c>
      <c r="E16" s="26" t="s">
        <v>81</v>
      </c>
      <c r="F16" s="140"/>
      <c r="I16" s="85" t="s">
        <v>282</v>
      </c>
    </row>
    <row r="17" spans="3:9" ht="35.25" customHeight="1">
      <c r="C17" s="278"/>
      <c r="D17" s="279"/>
      <c r="E17" s="40" t="s">
        <v>82</v>
      </c>
      <c r="F17" s="140"/>
      <c r="I17" s="85" t="s">
        <v>282</v>
      </c>
    </row>
    <row r="18" spans="3:9" ht="35.25" customHeight="1">
      <c r="C18" s="279"/>
      <c r="D18" s="27" t="s">
        <v>83</v>
      </c>
      <c r="E18" s="2" t="s">
        <v>84</v>
      </c>
      <c r="F18" s="140"/>
      <c r="I18" s="85" t="s">
        <v>282</v>
      </c>
    </row>
    <row r="19" spans="3:9" ht="35.25" customHeight="1">
      <c r="C19" s="280" t="s">
        <v>85</v>
      </c>
      <c r="D19" s="27" t="s">
        <v>86</v>
      </c>
      <c r="E19" s="2" t="s">
        <v>87</v>
      </c>
      <c r="F19" s="140"/>
      <c r="I19" s="85" t="s">
        <v>282</v>
      </c>
    </row>
    <row r="20" spans="3:9" ht="35.25" customHeight="1">
      <c r="C20" s="279"/>
      <c r="D20" s="27" t="s">
        <v>88</v>
      </c>
      <c r="E20" s="2" t="s">
        <v>89</v>
      </c>
      <c r="F20" s="140"/>
      <c r="I20" s="85" t="s">
        <v>282</v>
      </c>
    </row>
    <row r="21" spans="3:9" ht="35.25" customHeight="1">
      <c r="C21" s="278" t="s">
        <v>90</v>
      </c>
      <c r="D21" s="278" t="s">
        <v>91</v>
      </c>
      <c r="E21" s="42" t="s">
        <v>457</v>
      </c>
      <c r="F21" s="140"/>
      <c r="I21" s="85" t="s">
        <v>282</v>
      </c>
    </row>
    <row r="22" spans="3:9" ht="35.25" customHeight="1">
      <c r="C22" s="278"/>
      <c r="D22" s="279"/>
      <c r="E22" s="2" t="s">
        <v>458</v>
      </c>
      <c r="F22" s="140"/>
      <c r="I22" s="85" t="s">
        <v>282</v>
      </c>
    </row>
    <row r="23" spans="3:9" ht="35.25" customHeight="1">
      <c r="C23" s="278"/>
      <c r="D23" s="280" t="s">
        <v>92</v>
      </c>
      <c r="E23" s="2" t="s">
        <v>93</v>
      </c>
      <c r="F23" s="140"/>
      <c r="I23" s="85" t="s">
        <v>282</v>
      </c>
    </row>
    <row r="24" spans="3:9" ht="35.25" customHeight="1">
      <c r="C24" s="279"/>
      <c r="D24" s="279"/>
      <c r="E24" s="2" t="s">
        <v>94</v>
      </c>
      <c r="F24" s="140"/>
      <c r="I24" s="85" t="s">
        <v>282</v>
      </c>
    </row>
    <row r="26" spans="3:9" ht="9" customHeight="1"/>
  </sheetData>
  <sheetProtection formatRows="0"/>
  <mergeCells count="10">
    <mergeCell ref="D21:D22"/>
    <mergeCell ref="D23:D24"/>
    <mergeCell ref="C5:C10"/>
    <mergeCell ref="C11:C18"/>
    <mergeCell ref="C19:C20"/>
    <mergeCell ref="C21:C24"/>
    <mergeCell ref="D6:D8"/>
    <mergeCell ref="D11:D13"/>
    <mergeCell ref="D14:D15"/>
    <mergeCell ref="D16:D17"/>
  </mergeCells>
  <phoneticPr fontId="1"/>
  <conditionalFormatting sqref="F5:F24">
    <cfRule type="expression" dxfId="47" priority="66">
      <formula>#REF!="OFF"</formula>
    </cfRule>
  </conditionalFormatting>
  <pageMargins left="0.70866141732283472" right="0.51181102362204722" top="0.74803149606299213" bottom="0.74803149606299213" header="0.31496062992125984" footer="0.31496062992125984"/>
  <pageSetup paperSize="9" scale="70"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4" tint="0.59999389629810485"/>
    <pageSetUpPr fitToPage="1"/>
  </sheetPr>
  <dimension ref="A1:BZ140"/>
  <sheetViews>
    <sheetView zoomScale="55" zoomScaleNormal="55" zoomScaleSheetLayoutView="40" workbookViewId="0">
      <pane xSplit="11" ySplit="11" topLeftCell="L12" activePane="bottomRight" state="frozen"/>
      <selection pane="topRight"/>
      <selection pane="bottomLeft"/>
      <selection pane="bottomRight" activeCell="AR12" sqref="AR12"/>
    </sheetView>
  </sheetViews>
  <sheetFormatPr defaultColWidth="9" defaultRowHeight="13.5"/>
  <cols>
    <col min="1" max="1" width="1.5" style="1" customWidth="1"/>
    <col min="2" max="2" width="3" style="1" customWidth="1"/>
    <col min="3" max="4" width="12.625" style="1" customWidth="1"/>
    <col min="5" max="5" width="15" style="1" customWidth="1"/>
    <col min="6" max="6" width="22.5" style="1" customWidth="1"/>
    <col min="7" max="9" width="15" style="1" customWidth="1"/>
    <col min="10" max="10" width="19.75" style="1" bestFit="1" customWidth="1"/>
    <col min="11" max="11" width="12.5" style="1" customWidth="1"/>
    <col min="12" max="12" width="19.25" style="1" bestFit="1" customWidth="1"/>
    <col min="13" max="15" width="13.75" style="1" customWidth="1"/>
    <col min="16" max="16" width="16.25" style="1" customWidth="1"/>
    <col min="17" max="18" width="15.125" style="1" customWidth="1"/>
    <col min="19" max="21" width="13.75" style="1" customWidth="1"/>
    <col min="22" max="23" width="16.25" style="1" customWidth="1"/>
    <col min="24" max="25" width="13.75" style="1" customWidth="1"/>
    <col min="26" max="26" width="16.25" style="1" customWidth="1"/>
    <col min="27" max="27" width="15.625" style="1" bestFit="1" customWidth="1"/>
    <col min="28" max="32" width="20.25" style="1" customWidth="1"/>
    <col min="33" max="36" width="13.375" style="1" customWidth="1"/>
    <col min="37" max="37" width="11.625" style="1" customWidth="1"/>
    <col min="38" max="38" width="13" style="1" customWidth="1"/>
    <col min="39" max="39" width="15.5" style="1" customWidth="1"/>
    <col min="40" max="40" width="13" style="1" customWidth="1"/>
    <col min="41" max="42" width="13.875" style="1" customWidth="1"/>
    <col min="43" max="44" width="13" style="1" customWidth="1"/>
    <col min="45" max="45" width="16" style="1" customWidth="1"/>
    <col min="46" max="46" width="14" style="1" customWidth="1"/>
    <col min="47" max="47" width="50.75" style="1" bestFit="1" customWidth="1"/>
    <col min="48" max="48" width="20.75" style="1" hidden="1" customWidth="1"/>
    <col min="49" max="49" width="24.125" style="1" hidden="1" customWidth="1"/>
    <col min="50" max="50" width="24.375" style="1" hidden="1" customWidth="1"/>
    <col min="51" max="52" width="18.25" style="1" hidden="1" customWidth="1"/>
    <col min="53" max="56" width="24.125" style="1" hidden="1" customWidth="1"/>
    <col min="57" max="58" width="22" style="1" hidden="1" customWidth="1"/>
    <col min="59" max="61" width="24.125" style="1" hidden="1" customWidth="1"/>
    <col min="62" max="62" width="22.75" style="1" hidden="1" customWidth="1"/>
    <col min="63" max="63" width="9" style="1"/>
    <col min="64" max="64" width="24.125" style="1" customWidth="1"/>
    <col min="65" max="69" width="18.125" style="1" customWidth="1"/>
    <col min="70" max="76" width="9" style="1" customWidth="1"/>
    <col min="77" max="16384" width="9" style="1"/>
  </cols>
  <sheetData>
    <row r="1" spans="1:78" ht="18.75">
      <c r="B1" s="38" t="s">
        <v>95</v>
      </c>
      <c r="C1" s="30"/>
      <c r="D1" s="30"/>
      <c r="G1" s="11"/>
      <c r="AQ1" s="23"/>
      <c r="AR1" s="23"/>
      <c r="AS1" s="23"/>
      <c r="AT1" s="23"/>
      <c r="AU1" s="163"/>
      <c r="AV1" s="11"/>
      <c r="AW1" s="11"/>
      <c r="AX1" s="11"/>
      <c r="AY1" s="11"/>
      <c r="AZ1" s="11"/>
      <c r="BA1" s="11"/>
      <c r="BB1" s="11"/>
      <c r="BC1" s="11"/>
      <c r="BD1" s="11"/>
      <c r="BE1" s="11"/>
      <c r="BF1" s="11"/>
      <c r="BG1" s="11"/>
      <c r="BH1" s="11"/>
      <c r="BI1" s="11"/>
      <c r="BJ1" s="11"/>
    </row>
    <row r="2" spans="1:78" s="126" customFormat="1" ht="9" customHeight="1">
      <c r="A2" s="1"/>
      <c r="B2" s="30"/>
      <c r="C2" s="30"/>
      <c r="D2" s="30"/>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25" t="str">
        <f ca="1">IF(AV3="","",AV3&amp;CHAR(10))&amp;IF(AW3="","",AW3&amp;CHAR(10))&amp;IF(AX3="","",AX3&amp;CHAR(10))&amp;IF(AY3="","",AY3&amp;CHAR(10))&amp;IF(AZ3="","",AZ3&amp;CHAR(10))&amp;IF(BA3="","",BA3&amp;CHAR(10))&amp;IF(BB3="","",BB3&amp;CHAR(10))
&amp;IF(BC3="","",BC3&amp;CHAR(10))&amp;IF(BD3="","",BD3&amp;CHAR(10))&amp;IF(BE3="","",BE3&amp;CHAR(10))&amp;IF(BF3="","",BF3&amp;CHAR(10))&amp;IF(BG3="","",BG3&amp;CHAR(10))&amp;IF(BH3="","",BH3&amp;CHAR(10))&amp;IF(BI3="","",BI3&amp;CHAR(10))&amp;IF(BJ3="","",BJ3)</f>
        <v xml:space="preserve">必須入力項目に未入力が1件あります
</v>
      </c>
      <c r="AW2" s="125"/>
      <c r="AX2" s="125"/>
      <c r="AY2" s="125"/>
      <c r="AZ2" s="125"/>
      <c r="BA2" s="125"/>
      <c r="BB2" s="125"/>
      <c r="BC2" s="125"/>
      <c r="BD2" s="125"/>
      <c r="BE2" s="125"/>
      <c r="BF2" s="125"/>
      <c r="BG2" s="125"/>
      <c r="BH2" s="125"/>
      <c r="BI2" s="125"/>
      <c r="BJ2" s="125"/>
    </row>
    <row r="3" spans="1:78" s="126" customFormat="1" ht="24" customHeight="1">
      <c r="A3" s="1"/>
      <c r="B3" s="30" t="s">
        <v>96</v>
      </c>
      <c r="C3" s="30"/>
      <c r="D3" s="30"/>
      <c r="E3" s="1"/>
      <c r="F3" s="1"/>
      <c r="G3" s="1"/>
      <c r="H3" s="1"/>
      <c r="I3" s="1"/>
      <c r="J3" s="1"/>
      <c r="K3" s="1"/>
      <c r="L3" s="293"/>
      <c r="M3" s="293"/>
      <c r="N3" s="293"/>
      <c r="O3" s="293"/>
      <c r="P3" s="293"/>
      <c r="Q3" s="293"/>
      <c r="R3" s="293"/>
      <c r="S3" s="293"/>
      <c r="T3" s="293"/>
      <c r="U3" s="293"/>
      <c r="V3" s="293"/>
      <c r="W3" s="293"/>
      <c r="X3" s="293"/>
      <c r="Y3" s="7"/>
      <c r="Z3" s="7"/>
      <c r="AA3" s="1"/>
      <c r="AB3" s="1"/>
      <c r="AC3" s="1"/>
      <c r="AD3" s="1"/>
      <c r="AE3" s="1"/>
      <c r="AF3" s="1"/>
      <c r="AG3" s="1"/>
      <c r="AH3" s="1"/>
      <c r="AI3" s="1"/>
      <c r="AJ3" s="1"/>
      <c r="AK3" s="1"/>
      <c r="AL3" s="1"/>
      <c r="AM3" s="1"/>
      <c r="AN3" s="1"/>
      <c r="AO3" s="1"/>
      <c r="AP3" s="1"/>
      <c r="AQ3" s="1"/>
      <c r="AR3" s="1"/>
      <c r="AS3" s="1"/>
      <c r="AT3" s="1"/>
      <c r="AU3" s="1"/>
      <c r="AV3" s="125" t="str">
        <f ca="1">IF(AV4&lt;&gt;0,AV11&amp;"に未入力が"&amp;AV4&amp;"件あります","")</f>
        <v>必須入力項目に未入力が1件あります</v>
      </c>
      <c r="AW3" s="125" t="str">
        <f ca="1">IF(AW4&lt;&gt;0,AW11&amp;"に小数桁数エラーが"&amp;AW4&amp;"件あります","")</f>
        <v/>
      </c>
      <c r="AX3" s="125" t="str">
        <f ca="1">IF(AX4&lt;&gt;0,AX11&amp;"に小数桁数エラーが"&amp;AX4&amp;"件あります","")</f>
        <v/>
      </c>
      <c r="AY3" s="125" t="str">
        <f ca="1">IF(AY4&lt;&gt;0,AY11&amp;"の入力不可セルに"&amp;AY4&amp;"件入力されています","")</f>
        <v/>
      </c>
      <c r="AZ3" s="125" t="str">
        <f ca="1">IF(AZ4&lt;&gt;0,AZ11&amp;"に「適合」以外が入力されているセルが"&amp;AZ4&amp;"件あります","")</f>
        <v/>
      </c>
      <c r="BA3" s="125" t="str">
        <f ca="1">IF(BA4&lt;&gt;0,BA11&amp;"に小数桁数エラーが"&amp;BA4&amp;"件あります","")</f>
        <v/>
      </c>
      <c r="BB3" s="125" t="str">
        <f ca="1">IF(BB4&lt;&gt;0,BB11&amp;"の入力不可セルに"&amp;BB4&amp;"件入力されています","")</f>
        <v/>
      </c>
      <c r="BC3" s="125" t="str">
        <f ca="1">IF(BC4&lt;&gt;0,BC11&amp;"に小数桁数エラーが"&amp;BC4&amp;"件あります","")</f>
        <v/>
      </c>
      <c r="BD3" s="125" t="str">
        <f ca="1">IF(BD4&lt;&gt;0,BD11&amp;"の入力不可セルに"&amp;BD4&amp;"件入力されています","")</f>
        <v/>
      </c>
      <c r="BE3" s="125" t="str">
        <f>IF(BE4&lt;&gt;0,BE11&amp;"の入力不可セルに"&amp;BE4&amp;"件入力されています","")</f>
        <v/>
      </c>
      <c r="BF3" s="125" t="str">
        <f ca="1">IF(BF4&lt;&gt;0,BF11&amp;"に「適合」以外が入力されているセルが"&amp;BF4&amp;"件あります","")</f>
        <v/>
      </c>
      <c r="BG3" s="125" t="str">
        <f ca="1">IF(BG4&lt;&gt;0,BG11&amp;"に小数桁数エラーが"&amp;BG4&amp;"件あります","")</f>
        <v/>
      </c>
      <c r="BH3" s="125" t="str">
        <f ca="1">IF(BH4&lt;&gt;0,BH11&amp;"の入力不可セルに"&amp;BH4&amp;"件入力されています","")</f>
        <v/>
      </c>
      <c r="BI3" s="125" t="str">
        <f>IF(BI4&lt;&gt;0,BI11&amp;"の入力不可セルに"&amp;BI4&amp;"件入力されています","")</f>
        <v/>
      </c>
      <c r="BJ3" s="125" t="str">
        <f>IF(BJ4&lt;&gt;0,BJ11&amp;"の入力不可セルに"&amp;BJ4&amp;"件入力されています","")</f>
        <v/>
      </c>
    </row>
    <row r="4" spans="1:78" s="126" customFormat="1" ht="22.5" customHeight="1">
      <c r="A4" s="1"/>
      <c r="B4" s="31" t="s">
        <v>97</v>
      </c>
      <c r="C4" s="30"/>
      <c r="D4" s="30"/>
      <c r="E4" s="1"/>
      <c r="F4" s="1"/>
      <c r="G4" s="1"/>
      <c r="H4" s="1"/>
      <c r="I4" s="1"/>
      <c r="J4" s="1"/>
      <c r="K4" s="1"/>
      <c r="L4" s="1"/>
      <c r="M4" s="1"/>
      <c r="N4" s="1"/>
      <c r="O4" s="1"/>
      <c r="P4" s="1"/>
      <c r="Q4" s="1"/>
      <c r="R4" s="1"/>
      <c r="S4" s="1"/>
      <c r="T4" s="1"/>
      <c r="U4" s="1"/>
      <c r="V4" s="1"/>
      <c r="W4" s="1"/>
      <c r="X4" s="1"/>
      <c r="Y4" s="7"/>
      <c r="Z4" s="7"/>
      <c r="AA4" s="1"/>
      <c r="AB4" s="1"/>
      <c r="AC4" s="1"/>
      <c r="AD4" s="1"/>
      <c r="AE4" s="1"/>
      <c r="AF4" s="1"/>
      <c r="AG4" s="1"/>
      <c r="AH4" s="1"/>
      <c r="AI4" s="1"/>
      <c r="AJ4" s="1"/>
      <c r="AK4" s="1"/>
      <c r="AL4" s="1"/>
      <c r="AM4" s="1"/>
      <c r="AN4" s="1"/>
      <c r="AO4" s="1"/>
      <c r="AP4" s="1"/>
      <c r="AQ4" s="1"/>
      <c r="AR4" s="1"/>
      <c r="AS4" s="1"/>
      <c r="AT4" s="1"/>
      <c r="AU4" s="1"/>
      <c r="AV4" s="125">
        <f t="shared" ref="AV4:BJ4" ca="1" si="0">COUNTIF(AV11:AV1082,"*エラー*")</f>
        <v>1</v>
      </c>
      <c r="AW4" s="125">
        <f t="shared" ca="1" si="0"/>
        <v>0</v>
      </c>
      <c r="AX4" s="125">
        <f t="shared" ca="1" si="0"/>
        <v>0</v>
      </c>
      <c r="AY4" s="125">
        <f t="shared" ca="1" si="0"/>
        <v>0</v>
      </c>
      <c r="AZ4" s="125">
        <f t="shared" ca="1" si="0"/>
        <v>0</v>
      </c>
      <c r="BA4" s="125">
        <f t="shared" ca="1" si="0"/>
        <v>0</v>
      </c>
      <c r="BB4" s="125">
        <f t="shared" ca="1" si="0"/>
        <v>0</v>
      </c>
      <c r="BC4" s="125">
        <f t="shared" ca="1" si="0"/>
        <v>0</v>
      </c>
      <c r="BD4" s="125">
        <f t="shared" ca="1" si="0"/>
        <v>0</v>
      </c>
      <c r="BE4" s="125">
        <f t="shared" si="0"/>
        <v>0</v>
      </c>
      <c r="BF4" s="125">
        <f t="shared" ca="1" si="0"/>
        <v>0</v>
      </c>
      <c r="BG4" s="125">
        <f t="shared" ca="1" si="0"/>
        <v>0</v>
      </c>
      <c r="BH4" s="125">
        <f t="shared" ca="1" si="0"/>
        <v>0</v>
      </c>
      <c r="BI4" s="125">
        <f t="shared" si="0"/>
        <v>0</v>
      </c>
      <c r="BJ4" s="125">
        <f t="shared" si="0"/>
        <v>0</v>
      </c>
    </row>
    <row r="5" spans="1:78" ht="6" customHeight="1">
      <c r="B5" s="31"/>
      <c r="C5" s="30"/>
      <c r="D5" s="30"/>
      <c r="L5" s="293"/>
      <c r="M5" s="293"/>
      <c r="N5" s="293"/>
      <c r="O5" s="293"/>
      <c r="P5" s="293"/>
      <c r="Q5" s="293"/>
      <c r="R5" s="293"/>
      <c r="S5" s="293"/>
      <c r="T5" s="293"/>
      <c r="U5" s="293"/>
      <c r="V5" s="293"/>
      <c r="W5" s="293"/>
      <c r="X5" s="293"/>
      <c r="AV5" s="11"/>
      <c r="AW5" s="11"/>
      <c r="AX5" s="11"/>
      <c r="AY5" s="11"/>
      <c r="AZ5" s="11"/>
      <c r="BA5" s="11"/>
      <c r="BB5" s="11"/>
      <c r="BC5" s="11"/>
      <c r="BD5" s="11"/>
      <c r="BE5" s="11"/>
      <c r="BF5" s="11"/>
      <c r="BG5" s="11"/>
      <c r="BH5" s="11"/>
      <c r="BI5" s="11"/>
      <c r="BJ5" s="11"/>
    </row>
    <row r="6" spans="1:78" ht="22.15" customHeight="1">
      <c r="B6" s="31"/>
      <c r="C6" s="30"/>
      <c r="D6" s="30"/>
      <c r="AV6" s="11"/>
      <c r="AW6" s="11"/>
      <c r="AX6" s="11"/>
      <c r="AY6" s="11"/>
      <c r="AZ6" s="11"/>
      <c r="BA6" s="11"/>
      <c r="BB6" s="11"/>
      <c r="BC6" s="11"/>
      <c r="BD6" s="11"/>
      <c r="BE6" s="11"/>
      <c r="BF6" s="11"/>
      <c r="BG6" s="11"/>
      <c r="BH6" s="11"/>
      <c r="BI6" s="11"/>
      <c r="BJ6" s="11"/>
    </row>
    <row r="7" spans="1:78" ht="6" customHeight="1">
      <c r="B7" s="31"/>
      <c r="C7" s="30"/>
      <c r="D7" s="30"/>
      <c r="AV7" s="11"/>
      <c r="AW7" s="11"/>
      <c r="AX7" s="11"/>
      <c r="AY7" s="11"/>
      <c r="AZ7" s="11"/>
      <c r="BA7" s="11"/>
      <c r="BB7" s="11"/>
      <c r="BC7" s="11"/>
      <c r="BD7" s="11"/>
      <c r="BE7" s="11"/>
      <c r="BF7" s="11"/>
      <c r="BG7" s="11"/>
      <c r="BH7" s="11"/>
      <c r="BI7" s="11"/>
      <c r="BJ7" s="11"/>
    </row>
    <row r="8" spans="1:78" ht="23.25" customHeight="1">
      <c r="A8" s="44"/>
      <c r="C8" s="303" t="s">
        <v>98</v>
      </c>
      <c r="D8" s="290" t="s">
        <v>156</v>
      </c>
      <c r="E8" s="316" t="s">
        <v>99</v>
      </c>
      <c r="F8" s="317"/>
      <c r="G8" s="317"/>
      <c r="H8" s="317"/>
      <c r="I8" s="317"/>
      <c r="J8" s="317"/>
      <c r="K8" s="318"/>
      <c r="L8" s="287" t="s">
        <v>100</v>
      </c>
      <c r="M8" s="288"/>
      <c r="N8" s="288"/>
      <c r="O8" s="288"/>
      <c r="P8" s="288"/>
      <c r="Q8" s="288"/>
      <c r="R8" s="288"/>
      <c r="S8" s="288"/>
      <c r="T8" s="288"/>
      <c r="U8" s="288"/>
      <c r="V8" s="288"/>
      <c r="W8" s="288"/>
      <c r="X8" s="288"/>
      <c r="Y8" s="288"/>
      <c r="Z8" s="289"/>
      <c r="AA8" s="294" t="s">
        <v>101</v>
      </c>
      <c r="AB8" s="295"/>
      <c r="AC8" s="295"/>
      <c r="AD8" s="295"/>
      <c r="AE8" s="295"/>
      <c r="AF8" s="295"/>
      <c r="AG8" s="295"/>
      <c r="AH8" s="295"/>
      <c r="AI8" s="296"/>
      <c r="AJ8" s="294" t="s">
        <v>102</v>
      </c>
      <c r="AK8" s="295"/>
      <c r="AL8" s="295"/>
      <c r="AM8" s="295"/>
      <c r="AN8" s="295"/>
      <c r="AO8" s="295"/>
      <c r="AP8" s="295"/>
      <c r="AQ8" s="295"/>
      <c r="AR8" s="295"/>
      <c r="AS8" s="296"/>
      <c r="AT8" s="284" t="s">
        <v>327</v>
      </c>
      <c r="AU8" s="290" t="s">
        <v>150</v>
      </c>
      <c r="AV8" s="11"/>
      <c r="AW8" s="11"/>
      <c r="AX8" s="11"/>
      <c r="AY8" s="11"/>
      <c r="AZ8" s="11"/>
      <c r="BA8" s="11"/>
      <c r="BB8" s="11"/>
      <c r="BC8" s="11"/>
      <c r="BD8" s="11"/>
      <c r="BE8" s="11"/>
      <c r="BF8" s="11"/>
      <c r="BG8" s="11"/>
      <c r="BH8" s="11"/>
      <c r="BI8" s="11"/>
      <c r="BJ8" s="11"/>
      <c r="BM8" s="117" t="s">
        <v>338</v>
      </c>
      <c r="BN8" s="118"/>
      <c r="BO8" s="74"/>
      <c r="BP8" s="117" t="s">
        <v>339</v>
      </c>
      <c r="BQ8" s="118"/>
      <c r="BR8" s="118"/>
      <c r="BS8" s="117" t="s">
        <v>337</v>
      </c>
      <c r="BT8" s="118"/>
      <c r="BU8" s="118"/>
      <c r="BV8" s="119"/>
      <c r="BW8" s="117" t="s">
        <v>382</v>
      </c>
      <c r="BX8" s="119"/>
      <c r="BY8" s="75"/>
      <c r="BZ8" s="75"/>
    </row>
    <row r="9" spans="1:78" ht="49.5" customHeight="1">
      <c r="C9" s="315"/>
      <c r="D9" s="291"/>
      <c r="E9" s="319"/>
      <c r="F9" s="320"/>
      <c r="G9" s="320"/>
      <c r="H9" s="320"/>
      <c r="I9" s="320"/>
      <c r="J9" s="320"/>
      <c r="K9" s="321"/>
      <c r="L9" s="312" t="s">
        <v>103</v>
      </c>
      <c r="M9" s="313"/>
      <c r="N9" s="313"/>
      <c r="O9" s="313"/>
      <c r="P9" s="314"/>
      <c r="Q9" s="287" t="s">
        <v>104</v>
      </c>
      <c r="R9" s="288"/>
      <c r="S9" s="288"/>
      <c r="T9" s="288"/>
      <c r="U9" s="288"/>
      <c r="V9" s="288"/>
      <c r="W9" s="288"/>
      <c r="X9" s="288"/>
      <c r="Y9" s="288"/>
      <c r="Z9" s="289"/>
      <c r="AA9" s="297"/>
      <c r="AB9" s="298"/>
      <c r="AC9" s="298"/>
      <c r="AD9" s="298"/>
      <c r="AE9" s="298"/>
      <c r="AF9" s="298"/>
      <c r="AG9" s="298"/>
      <c r="AH9" s="298"/>
      <c r="AI9" s="299"/>
      <c r="AJ9" s="297"/>
      <c r="AK9" s="298"/>
      <c r="AL9" s="298"/>
      <c r="AM9" s="298"/>
      <c r="AN9" s="298"/>
      <c r="AO9" s="298"/>
      <c r="AP9" s="298"/>
      <c r="AQ9" s="298"/>
      <c r="AR9" s="298"/>
      <c r="AS9" s="299"/>
      <c r="AT9" s="285"/>
      <c r="AU9" s="291"/>
      <c r="AV9" s="11"/>
      <c r="AW9" s="11"/>
      <c r="AX9" s="11"/>
      <c r="AY9" s="11"/>
      <c r="AZ9" s="11"/>
      <c r="BA9" s="11"/>
      <c r="BB9" s="11"/>
      <c r="BC9" s="11"/>
      <c r="BD9" s="11"/>
      <c r="BE9" s="11"/>
      <c r="BF9" s="11"/>
      <c r="BG9" s="11"/>
      <c r="BH9" s="11"/>
      <c r="BI9" s="11"/>
      <c r="BJ9" s="11"/>
      <c r="BL9" s="41" t="s">
        <v>334</v>
      </c>
      <c r="BM9" s="113" t="s">
        <v>335</v>
      </c>
      <c r="BN9" s="115" t="s">
        <v>336</v>
      </c>
      <c r="BO9" s="116" t="s">
        <v>136</v>
      </c>
      <c r="BP9" s="113">
        <v>0.75</v>
      </c>
      <c r="BQ9" s="116">
        <v>0.87</v>
      </c>
      <c r="BR9" s="116">
        <v>0.6</v>
      </c>
      <c r="BS9" s="113">
        <v>0.8</v>
      </c>
      <c r="BT9" s="116">
        <v>0.85</v>
      </c>
      <c r="BU9" s="116">
        <v>0.9</v>
      </c>
      <c r="BV9" s="114">
        <v>1</v>
      </c>
      <c r="BW9" s="113">
        <v>0.75</v>
      </c>
      <c r="BX9" s="114">
        <v>0.8</v>
      </c>
      <c r="BY9" s="75"/>
      <c r="BZ9" s="75"/>
    </row>
    <row r="10" spans="1:78" ht="31.5" customHeight="1">
      <c r="C10" s="315"/>
      <c r="D10" s="291"/>
      <c r="E10" s="290" t="s">
        <v>157</v>
      </c>
      <c r="F10" s="310" t="s">
        <v>105</v>
      </c>
      <c r="G10" s="310" t="s">
        <v>106</v>
      </c>
      <c r="H10" s="310" t="s">
        <v>107</v>
      </c>
      <c r="I10" s="310" t="s">
        <v>293</v>
      </c>
      <c r="J10" s="310" t="s">
        <v>358</v>
      </c>
      <c r="K10" s="310" t="s">
        <v>357</v>
      </c>
      <c r="L10" s="303" t="s">
        <v>32</v>
      </c>
      <c r="M10" s="303" t="s">
        <v>108</v>
      </c>
      <c r="N10" s="303" t="s">
        <v>359</v>
      </c>
      <c r="O10" s="303" t="s">
        <v>109</v>
      </c>
      <c r="P10" s="303" t="s">
        <v>360</v>
      </c>
      <c r="Q10" s="303" t="s">
        <v>345</v>
      </c>
      <c r="R10" s="303" t="s">
        <v>346</v>
      </c>
      <c r="S10" s="310" t="s">
        <v>35</v>
      </c>
      <c r="T10" s="303" t="s">
        <v>108</v>
      </c>
      <c r="U10" s="303" t="s">
        <v>359</v>
      </c>
      <c r="V10" s="303" t="s">
        <v>355</v>
      </c>
      <c r="W10" s="303" t="s">
        <v>356</v>
      </c>
      <c r="X10" s="310" t="s">
        <v>361</v>
      </c>
      <c r="Y10" s="303" t="s">
        <v>109</v>
      </c>
      <c r="Z10" s="303" t="s">
        <v>362</v>
      </c>
      <c r="AA10" s="281" t="s">
        <v>110</v>
      </c>
      <c r="AB10" s="282"/>
      <c r="AC10" s="282"/>
      <c r="AD10" s="282"/>
      <c r="AE10" s="282"/>
      <c r="AF10" s="283"/>
      <c r="AG10" s="300" t="s">
        <v>111</v>
      </c>
      <c r="AH10" s="301"/>
      <c r="AI10" s="302"/>
      <c r="AJ10" s="308" t="s">
        <v>413</v>
      </c>
      <c r="AK10" s="303" t="s">
        <v>364</v>
      </c>
      <c r="AL10" s="305" t="s">
        <v>112</v>
      </c>
      <c r="AM10" s="306"/>
      <c r="AN10" s="306"/>
      <c r="AO10" s="306"/>
      <c r="AP10" s="306"/>
      <c r="AQ10" s="307"/>
      <c r="AR10" s="303" t="s">
        <v>456</v>
      </c>
      <c r="AS10" s="303" t="s">
        <v>360</v>
      </c>
      <c r="AT10" s="285"/>
      <c r="AU10" s="291"/>
      <c r="AV10" s="97" t="s">
        <v>389</v>
      </c>
      <c r="AW10" s="97" t="s">
        <v>331</v>
      </c>
      <c r="AX10" s="97" t="s">
        <v>331</v>
      </c>
      <c r="AY10" s="97" t="s">
        <v>342</v>
      </c>
      <c r="AZ10" s="97" t="s">
        <v>391</v>
      </c>
      <c r="BA10" s="97" t="s">
        <v>331</v>
      </c>
      <c r="BB10" s="97" t="s">
        <v>342</v>
      </c>
      <c r="BC10" s="97" t="s">
        <v>331</v>
      </c>
      <c r="BD10" s="97" t="s">
        <v>342</v>
      </c>
      <c r="BE10" s="97" t="s">
        <v>342</v>
      </c>
      <c r="BF10" s="97" t="s">
        <v>391</v>
      </c>
      <c r="BG10" s="97" t="s">
        <v>331</v>
      </c>
      <c r="BH10" s="97" t="s">
        <v>342</v>
      </c>
      <c r="BI10" s="97" t="s">
        <v>342</v>
      </c>
      <c r="BJ10" s="97" t="s">
        <v>342</v>
      </c>
    </row>
    <row r="11" spans="1:78" ht="76.900000000000006" customHeight="1">
      <c r="C11" s="304"/>
      <c r="D11" s="292"/>
      <c r="E11" s="292"/>
      <c r="F11" s="311"/>
      <c r="G11" s="311"/>
      <c r="H11" s="311"/>
      <c r="I11" s="311"/>
      <c r="J11" s="311"/>
      <c r="K11" s="311"/>
      <c r="L11" s="304"/>
      <c r="M11" s="304"/>
      <c r="N11" s="304"/>
      <c r="O11" s="304"/>
      <c r="P11" s="304"/>
      <c r="Q11" s="304"/>
      <c r="R11" s="304"/>
      <c r="S11" s="311"/>
      <c r="T11" s="304"/>
      <c r="U11" s="304"/>
      <c r="V11" s="304"/>
      <c r="W11" s="304"/>
      <c r="X11" s="311"/>
      <c r="Y11" s="304"/>
      <c r="Z11" s="304"/>
      <c r="AA11" s="33" t="s">
        <v>113</v>
      </c>
      <c r="AB11" s="33" t="s">
        <v>363</v>
      </c>
      <c r="AC11" s="166" t="s">
        <v>403</v>
      </c>
      <c r="AD11" s="166" t="s">
        <v>404</v>
      </c>
      <c r="AE11" s="166" t="s">
        <v>410</v>
      </c>
      <c r="AF11" s="166" t="s">
        <v>411</v>
      </c>
      <c r="AG11" s="33" t="s">
        <v>354</v>
      </c>
      <c r="AH11" s="33" t="s">
        <v>347</v>
      </c>
      <c r="AI11" s="33" t="s">
        <v>348</v>
      </c>
      <c r="AJ11" s="309"/>
      <c r="AK11" s="304"/>
      <c r="AL11" s="33" t="s">
        <v>349</v>
      </c>
      <c r="AM11" s="33" t="s">
        <v>365</v>
      </c>
      <c r="AN11" s="300" t="s">
        <v>366</v>
      </c>
      <c r="AO11" s="302"/>
      <c r="AP11" s="167" t="s">
        <v>383</v>
      </c>
      <c r="AQ11" s="56" t="s">
        <v>350</v>
      </c>
      <c r="AR11" s="304"/>
      <c r="AS11" s="304"/>
      <c r="AT11" s="286"/>
      <c r="AU11" s="292"/>
      <c r="AV11" s="120" t="s">
        <v>390</v>
      </c>
      <c r="AW11" s="132" t="s">
        <v>293</v>
      </c>
      <c r="AX11" s="132" t="s">
        <v>32</v>
      </c>
      <c r="AY11" s="132" t="s">
        <v>32</v>
      </c>
      <c r="AZ11" s="132" t="s">
        <v>392</v>
      </c>
      <c r="BA11" s="132" t="s">
        <v>345</v>
      </c>
      <c r="BB11" s="132" t="s">
        <v>345</v>
      </c>
      <c r="BC11" s="132" t="s">
        <v>380</v>
      </c>
      <c r="BD11" s="132" t="s">
        <v>380</v>
      </c>
      <c r="BE11" s="133" t="s">
        <v>393</v>
      </c>
      <c r="BF11" s="133" t="s">
        <v>393</v>
      </c>
      <c r="BG11" s="132" t="s">
        <v>381</v>
      </c>
      <c r="BH11" s="132" t="s">
        <v>381</v>
      </c>
      <c r="BI11" s="133" t="s">
        <v>394</v>
      </c>
      <c r="BJ11" s="132" t="s">
        <v>340</v>
      </c>
      <c r="BL11" s="94" t="s">
        <v>367</v>
      </c>
      <c r="BM11" s="94" t="s">
        <v>295</v>
      </c>
      <c r="BN11" s="94" t="s">
        <v>368</v>
      </c>
      <c r="BO11" s="94" t="s">
        <v>296</v>
      </c>
      <c r="BP11" s="94" t="s">
        <v>369</v>
      </c>
      <c r="BR11" s="30"/>
      <c r="BS11" s="30"/>
      <c r="BT11" s="30"/>
      <c r="BU11" s="75"/>
      <c r="BV11" s="75"/>
      <c r="BW11" s="75"/>
      <c r="BX11" s="75"/>
      <c r="BY11" s="75"/>
    </row>
    <row r="12" spans="1:78" ht="30.75" customHeight="1">
      <c r="C12" s="69" t="str" cm="1">
        <f t="array" aca="1" ref="C12" ca="1">IF(SUMPRODUCT(--($D12:$AU12 &lt;&gt; "")),RIGHT(YEAR(TODAY()),2)&amp;"01"&amp;REPT("0",4-LEN(ROW()-11))&amp;ROW()-11,"")</f>
        <v>25010001</v>
      </c>
      <c r="D12" s="141"/>
      <c r="E12" s="142"/>
      <c r="F12" s="71" t="s">
        <v>255</v>
      </c>
      <c r="G12" s="66"/>
      <c r="H12" s="41" t="str">
        <f>IFERROR(VLOOKUP(G12,マスタ!$D$3:$E$55,2,FALSE),"")</f>
        <v/>
      </c>
      <c r="I12" s="93"/>
      <c r="J12" s="77"/>
      <c r="K12" s="66"/>
      <c r="L12" s="103"/>
      <c r="M12" s="71" t="s">
        <v>307</v>
      </c>
      <c r="N12" s="101" t="str">
        <f>IF($M12 = $BM$9, $BM$9,
        IF($L12 = "", "",
              IF(OR(
                          AND(OR($G12 = マスタ!$D$54, $G12 = マスタ!$D$55), $L12 &lt;= $BP$9),
                          AND($G12 &lt;&gt; マスタ!$D$54, $G12 &lt;&gt; マスタ!$D$55, $L12 &lt;= $BQ$9)
                         ), $BM$9, $BN$9)))</f>
        <v>適合</v>
      </c>
      <c r="O12" s="71" t="s">
        <v>307</v>
      </c>
      <c r="P12" s="101" t="str">
        <f t="shared" ref="P12:P43" si="1">IF($O12 = $BM$9, $BM$9,
        IF(AND($M12 = $BM$9, $O12 = $BO$9), $BN$9,
             IF($L12 = "", "",
                   IF($L12 &lt;= $BR$9, $BM$9, $BN$9))))</f>
        <v>適合</v>
      </c>
      <c r="Q12" s="124">
        <v>100</v>
      </c>
      <c r="R12" s="124">
        <v>80</v>
      </c>
      <c r="S12" s="112">
        <f t="shared" ref="S12:S25" si="2">IF(AND($Q12&lt;&gt;"",$Q12&lt;&gt;0, R12&lt;&gt;""), ROUNDUP(R12/Q12, 2), "")</f>
        <v>0.8</v>
      </c>
      <c r="T12" s="71"/>
      <c r="U12" s="41" t="str">
        <f>IF($T12=$BM$9, $BM$9,
        IF($S12="", "",
             IF(OR(AND($BL12=マスタ!$C$3, $S12&lt;=$BS$9),
                        AND($BL12=マスタ!$C$4, $S12&lt;=$BT$9),
                        AND(OR($BL12=マスタ!$C$6, $BL12=マスタ!$C$7), $S12&lt;=$BU$9),
                        AND(OR($BL12=マスタ!$C$5, $BL12=マスタ!$C$8), $S12&lt;=$BV$9)),
                  $BM$9, $BN$9)))</f>
        <v>適合</v>
      </c>
      <c r="V12" s="129">
        <f t="shared" ref="V12:V23" si="3">IF($Q12="","",$Q12)</f>
        <v>100</v>
      </c>
      <c r="W12" s="124">
        <v>70</v>
      </c>
      <c r="X12" s="112">
        <f t="shared" ref="X12:X25" si="4">IF(AND($W12&lt;&gt;"",$V12&lt;&gt;0, V12&lt;&gt;""), ROUNDUP(W12/V12,2), "")</f>
        <v>0.7</v>
      </c>
      <c r="Y12" s="71"/>
      <c r="Z12" s="41" t="str">
        <f>IF($Y12=$BM$9, $BM$9,
        IF(AND($T12 = $BM$9, $Y12 = $BO$9), $BN$9,
             IF($BL12=マスタ!$C$3,
                  IF($X12&lt;=$BW$9, $BM$9,$BN$9),
                       IF(OR($BL12=マスタ!$C$4, $BL12=マスタ!$C$5, $BL12=マスタ!$C$6, $BL12=マスタ!$C$7, $BL12=マスタ!$C$8),
                            IF($X12&lt;=$BX$9, $BM$9,$BN$9), ""))))</f>
        <v>適合</v>
      </c>
      <c r="AA12" s="71" t="s">
        <v>180</v>
      </c>
      <c r="AB12" s="71" t="s">
        <v>459</v>
      </c>
      <c r="AC12" s="71"/>
      <c r="AD12" s="165"/>
      <c r="AE12" s="71"/>
      <c r="AF12" s="165"/>
      <c r="AG12" s="92"/>
      <c r="AH12" s="92"/>
      <c r="AI12" s="92"/>
      <c r="AJ12" s="92" t="s">
        <v>417</v>
      </c>
      <c r="AK12" s="121"/>
      <c r="AL12" s="121">
        <v>0</v>
      </c>
      <c r="AM12" s="121">
        <v>0</v>
      </c>
      <c r="AN12" s="121">
        <v>0</v>
      </c>
      <c r="AO12" s="92">
        <v>0</v>
      </c>
      <c r="AP12" s="130">
        <f t="shared" ref="AP12:AP112" si="5">IF($AO12="", "",
        IF(AND($AO12&gt;0, ROUNDDOWN($AO12/6, 0)=0), 1,
             ROUNDDOWN($AO12/6, 0)))</f>
        <v>0</v>
      </c>
      <c r="AQ12" s="121">
        <v>0</v>
      </c>
      <c r="AR12" s="101" t="str">
        <f>IF(OR(SUMPRODUCT(--(AJ12:AQ12&lt;&gt;""))&lt;7,AND($AJ12=マスタ!$N$3,$AK12="")), "",
        IF($AJ12=マスタ!$N$5, $BO$9,
              IF(OR($F12=マスタ!$C$3, $F12=マスタ!$C$4, $F12=マスタ!$C$5),
                    IF(SUM($AL12,$AM12,$AP12,$AQ12)&gt;=1, $BM$9, $BN$9),
              IF(OR($F12=マスタ!$C$6, $F12=マスタ!$C$7, $F12=マスタ!$C$8),
                    IF($AK12&lt;10, $BO$9,
                          IF(AND(SUM($AL12,$AM12,$AP12,$AQ12)&gt;=($AK12*0.2), $AM12+$AP12+$AQ12&gt;=1),
                               $BM$9,$BN$9))))))</f>
        <v>―</v>
      </c>
      <c r="AS12" s="101" t="str">
        <f>IF(OR(SUMPRODUCT(--(AJ12:AQ12&lt;&gt;""))&lt;7,AND($AJ12=マスタ!$N$3,$AK12="")), "",
     IF($AR12=$BN$9,$BN$9,
        IF($AJ12=マスタ!$N$5, $BO$9,
             IF(OR($F12=マスタ!$C$3, $F12=マスタ!$C$4, $F12=マスタ!$C$5),
                   IF($AQ12&gt;=1, $BM$9, $BN$9),
             IF(OR($F12=マスタ!$C$6, $F12=マスタ!$C$7, $F12=マスタ!$C$8),
                   IF($AK12&lt;5, IF($AQ12&gt;=1, $BM$9, $BN$9),
                         IF(OR($AQ12&gt;=1,
                                    AND(SUM($AL12,$AM12,$AP12,$AQ12)&gt;=$AK12*0.5, ($AM12+$AP12+$AQ12)&gt;=($AK12*0.2))),
                              $BM$9,$BN$9)))))))</f>
        <v>適合しない</v>
      </c>
      <c r="AT12" s="66"/>
      <c r="AU12" s="143"/>
      <c r="AV12" s="98" t="str" cm="1">
        <f t="array" aca="1" ref="AV12" ca="1">IF(AND($F12:$G12&lt;&gt;"", $I12:$K12&lt;&gt;"",
                 IF(OR($M12=$BM$9,$O12=$BM$9), TRUE, $L12&lt;&gt;""),
                 $M12&lt;&gt;"",$O12&lt;&gt;"",
                 IF($T12=$BM$9, TRUE, $Q12:$R12&lt;&gt;""),
                 IF(AND($BL12&lt;&gt;"", $BL12&lt;&gt;マスタ!$C$5, $BL12&lt;&gt;マスタ!$C$8), TRUE, $T12&lt;&gt;""),
                 IF(OR(AND($T12=$BM$9,  $Y12=$BO$9), $Y12=$BM$9), TRUE,$W12&lt;&gt;""),
                 IF(AND($BL12&lt;&gt;"", $BL12&lt;&gt;マスタ!$C$5, $BL12&lt;&gt;マスタ!$C$8), TRUE, $Y12&lt;&gt;""),
                 $AA12&lt;&gt;"",
                 IF($AA12=マスタ!$F$4, TRUE, $AB12&lt;&gt;""),
                 $AG12:$AO12&lt;&gt;"", $AQ12&lt;&gt;"", $AT12&lt;&gt;""),
        "（正常）入力済み", IF($C12= "", "（複数入力）未入力", "（エラー）一部未入力"))</f>
        <v>（エラー）一部未入力</v>
      </c>
      <c r="AW12" s="98" t="str">
        <f t="shared" ref="AW12:AW112" ca="1" si="6">IF($C12="", "", IF($I12="", "未入力",
        IF(LEN(
                     MID($I12,FIND(".",$I12&amp;".")+1,LEN($I12))
                     )&gt;2,"（エラー）小数第3位以下切り上げ要","（正常）規定内の桁数")))</f>
        <v>未入力</v>
      </c>
      <c r="AX12" s="98" t="str">
        <f t="shared" ref="AX12:AX43" ca="1" si="7">IF($C12="", "", IF(L12="",IF(OR($M12=$BM$9, $O12=$BM$9), "（正常）入力不要", "未入力"),
        IF(LEN(
                      MID(L12,FIND(".",L12&amp;".")+1,LEN(L12))
                     )&gt;2, "（エラー）小数第2位以下切り上げ要", "（正常）規定内の桁数")))</f>
        <v>（正常）入力不要</v>
      </c>
      <c r="AY12" s="98" t="str">
        <f t="shared" ref="AY12:AY43" ca="1" si="8">IF($C12="", "", IF(OR($M12=$BM$9, $O12=$BM$9),
                                 IF($L12&lt;&gt;"", "（エラー）値入力不可", "（正常）入力不要"),
                                      IF($L12&lt;&gt;"","（正常）規定値","未入力")))</f>
        <v>（正常）入力不要</v>
      </c>
      <c r="AZ12" s="98" t="str">
        <f t="shared" ref="AZ12:AZ43" ca="1" si="9">IF($C12 = "", "",
       IF($M12 = "", "未入力",
            IF(AND($O12 = $BM$9, $M12 = $BO$9), "（エラー）「適合」のみ入力可", "（正常）規定値")))</f>
        <v>（正常）規定値</v>
      </c>
      <c r="BA12" s="98" t="str">
        <f t="shared" ref="BA12:BA43" ca="1" si="10">IF($C12="", "", IF(Q12="", IF($T12=$BM$9, "（正常）入力不要", "未入力"),
        IF(LEN(
                      MID(Q12,FIND(".",Q12&amp;".")+1,LEN(Q12))
                     )&gt;1, "（エラー）小数第2位以下切り上げ要", "（正常）規定内の桁数")))</f>
        <v>（正常）規定内の桁数</v>
      </c>
      <c r="BB12" s="98" t="str">
        <f t="shared" ref="BB12:BB43" ca="1" si="11">IF($C12="", "", IF($T12=$BM$9,
                                 IF($Q12&lt;&gt;"", "（エラー）値入力不可", "（正常）規定値"),
                                      IF($Q12&lt;&gt;"","（正常）規定値","未入力")))</f>
        <v>（正常）規定値</v>
      </c>
      <c r="BC12" s="98" t="str">
        <f t="shared" ref="BC12:BC43" ca="1" si="12">IF($C12="", "", IF(R12="", IF($T12=$BM$9, "（正常）入力不要", "未入力"),
        IF(LEN(
                      MID(R12,FIND(".",R12&amp;".")+1,LEN(R12))
                     )&gt;1, "（エラー）小数第2位以下切り上げ要", "（正常）規定内の桁数")))</f>
        <v>（正常）規定内の桁数</v>
      </c>
      <c r="BD12" s="98" t="str">
        <f t="shared" ref="BD12:BD43" ca="1" si="13">IF($C12="", "", IF($T12=$BM$9,
                                 IF($R12&lt;&gt;"", "（エラー）値入力不可", "（正常）規定値"),
                                      IF($R12&lt;&gt;"","（正常）規定値","未入力")))</f>
        <v>（正常）規定値</v>
      </c>
      <c r="BE12" s="98" t="str">
        <f>IF($BL12="","",
   IF($T12=入力不可用2,
      IF(OR($BL12=マスタ!$C$5,$BL12=マスタ!$C$8), "未入力", "（正常）規定値"),
      IF(OR($BL12=マスタ!$C$5,$BL12=マスタ!$C$8), "（正常）規定値", "（エラー）値入力不可")))</f>
        <v>（正常）規定値</v>
      </c>
      <c r="BF12" s="98" t="str">
        <f ca="1">IF($C12 = "", "",
       IF(AND(OR($BL12=マスタ!$C$5, $BL12=マスタ!$C$8), $T12 = ""), "未入力",
            IF(AND($Y12 = $BM$9, $T12 = $BO$9), "（エラー）「適合」のみ入力可", "（正常）規定値")))</f>
        <v>（正常）規定値</v>
      </c>
      <c r="BG12" s="98" t="str">
        <f t="shared" ref="BG12:BG43" ca="1" si="14">IF($C12="", "", IF(W12="", IF(OR($T12=$BM$9, $Y12=$BM$9), "（正常）入力不要", "未入力"),
        IF(LEN(
                      MID(W12,FIND(".",W12&amp;".")+1,LEN(W12))
                     )&gt;1, "（エラー）小数第2位以下切り上げ要", "（正常）規定内の桁数")))</f>
        <v>（正常）規定内の桁数</v>
      </c>
      <c r="BH12" s="98" t="str">
        <f t="shared" ref="BH12:BH43" ca="1" si="15">IF($C12="","",
  IF($W12&lt;&gt;"",
    IF($Y12=$BM$9,"（エラー）値入力不可","（正常）規定値"),
    IF(OR($Y12=$BM$9, $T12=$BM$9),"（正常）入力不要","未入力")))</f>
        <v>（正常）規定値</v>
      </c>
      <c r="BI12" s="98" t="str">
        <f>IF($BL12="","",
   IF($Y12=入力不可用2,
      IF(OR($BL12=マスタ!$C$5,$BL12=マスタ!$C$8), "未入力", "（正常）規定値"),
      IF(OR($BL12=マスタ!$C$5,$BL12=マスタ!$C$8), "（正常）規定値", "（エラー）値入力不可")))</f>
        <v>（正常）規定値</v>
      </c>
      <c r="BJ12" s="98" t="str">
        <f>IF($AA12="", "",
        IF($AA12=マスタ!$F$3,
             IF($AB12="", "未入力", "（正常）規定値"),
                  IF($AA12=マスタ!$F$4,
                       IF($AB12&lt;&gt;入力不可用2, "（エラー）値入力不可", "（正常）規定値"))))</f>
        <v>（正常）規定値</v>
      </c>
      <c r="BL12" s="75" t="str">
        <f>IF(OR($F12 = マスタ!$C$5, F12 = マスタ!$C$8), $F12,
        IF(AND($F12 = マスタ!$C$3, 'その１事業者基本情報_入力シート（一部非公開）'!$U$16), $F12,
             IF(AND($F12 = マスタ!$C$4, 'その１事業者基本情報_入力シート（一部非公開）'!$S$16), $F12,
                  IF(AND(OR($F12 = マスタ!$C$6, $F12 = マスタ!$C$7),
                                'その１事業者基本情報_入力シート（一部非公開）'!$W$16), $F12,
                       IF(OR($F12 = マスタ!$C$3, $F12=マスタ!$C$4), マスタ!$C$5,
                            IF(OR($F12 = マスタ!$C$6, $F12 = マスタ!$C$7), マスタ!$C$8, ""))))))</f>
        <v>共同住宅（分譲）</v>
      </c>
      <c r="BM12" s="75">
        <f>IF($L12&lt;&gt;"", $L12,
       IF($M12 = マスタ!$B$3,
          IF(OR($F12=マスタ!$C$3,$F12=マスタ!$C$4,$F12=マスタ!$C$5),
            IF(OR($G12 = マスタ!$D$54, $G12 = マスタ!$D$55), 0.75, 0.87),
            IF(OR($G12 = マスタ!$D$54, $G12 = マスタ!$D$55), 0.62, 0.72)),
                 IF(ISBLANK($L12), "", $L12)))</f>
        <v>0.72</v>
      </c>
      <c r="BN12" s="99">
        <f>IF($L12&lt;&gt;"", $L12,
        IF($O12 = マスタ!$B$3,
          IF(OR($F12=マスタ!$C$3,$F12=マスタ!$C$4,$F12=マスタ!$C$5), 0.6, 0.5),
             IF(ISBLANK($L12), "", $L12)))</f>
        <v>0.5</v>
      </c>
      <c r="BO12" s="99">
        <f>IF($T12&lt;&gt;マスタ!$B$3,
        IF(ISBLANK($S12),"",$S12),
             IF($BL12=マスタ!$C$3,0.8,
             IF($BL12=マスタ!$C$4,0.85,
             IF($BL12=マスタ!$C$6,0.9,
             IF($BL12=マスタ!$C$7,0.9,
             IF($BL12=マスタ!$C$5,1,
             IF($BL12=マスタ!$C$8,1,"無効な入力")))))))</f>
        <v>0.8</v>
      </c>
      <c r="BP12" s="99">
        <f>IF($Y12&lt;&gt;マスタ!$B$3,
   IF(ISBLANK($X12), "", $X12),
   IF($BL12=マスタ!$C$3, 0.75,
      IF($BL12=マスタ!$C$4, 0.8,
         IF($BL12=マスタ!$C$6, 0.8,
            IF($BL12=マスタ!$C$7, 0.8,
               IF($BL12=マスタ!$C$5, 0.8,
                  IF($BL12=マスタ!$C$8, 0.8, "無効な入力")))))))</f>
        <v>0.7</v>
      </c>
      <c r="BQ12" s="75"/>
      <c r="BR12" s="75"/>
      <c r="BS12" s="75"/>
      <c r="BT12" s="75"/>
      <c r="BU12" s="75"/>
      <c r="BV12" s="75"/>
      <c r="BW12" s="75"/>
      <c r="BX12" s="75"/>
      <c r="BY12" s="75"/>
    </row>
    <row r="13" spans="1:78" ht="30.75" customHeight="1">
      <c r="C13" s="69" t="str" cm="1">
        <f t="array" aca="1" ref="C13" ca="1">IF(SUMPRODUCT(--($D13:$AU13 &lt;&gt; "")),RIGHT(YEAR(TODAY()),2)&amp;"01"&amp;REPT("0",4-LEN(ROW()-11))&amp;ROW()-11,"")</f>
        <v/>
      </c>
      <c r="D13" s="141"/>
      <c r="E13" s="142"/>
      <c r="F13" s="71"/>
      <c r="G13" s="66"/>
      <c r="H13" s="41" t="str">
        <f>IFERROR(VLOOKUP(G13,マスタ!$D$3:$E$55,2,FALSE),"")</f>
        <v/>
      </c>
      <c r="I13" s="93"/>
      <c r="J13" s="77"/>
      <c r="K13" s="66"/>
      <c r="L13" s="103"/>
      <c r="M13" s="71"/>
      <c r="N13" s="101" t="str">
        <f>IF($M13 = $BM$9, $BM$9,
        IF($L13 = "", "",
              IF(OR(
                          AND(OR($G13 = マスタ!$D$54, $G13 = マスタ!$D$55), $L13 &lt;= $BP$9),
                          AND($G13 &lt;&gt; マスタ!$D$54, $G13 &lt;&gt; マスタ!$D$55, $L13 &lt;= $BQ$9)
                         ), $BM$9, $BN$9)))</f>
        <v/>
      </c>
      <c r="O13" s="71"/>
      <c r="P13" s="101" t="str">
        <f t="shared" si="1"/>
        <v/>
      </c>
      <c r="Q13" s="124"/>
      <c r="R13" s="124"/>
      <c r="S13" s="112" t="str">
        <f t="shared" si="2"/>
        <v/>
      </c>
      <c r="T13" s="71"/>
      <c r="U13" s="41" t="str">
        <f>IF($T13=$BM$9, $BM$9,
        IF($S13="", "",
             IF(OR(AND($BL13=マスタ!$C$3, $S13&lt;=$BS$9),
                        AND($BL13=マスタ!$C$4, $S13&lt;=$BT$9),
                        AND(OR($BL13=マスタ!$C$6, $BL13=マスタ!$C$7), $S13&lt;=$BU$9),
                        AND(OR($BL13=マスタ!$C$5, $BL13=マスタ!$C$8), $S13&lt;=$BV$9)),
                  $BM$9, $BN$9)))</f>
        <v/>
      </c>
      <c r="V13" s="129" t="str">
        <f t="shared" si="3"/>
        <v/>
      </c>
      <c r="W13" s="124"/>
      <c r="X13" s="112" t="str">
        <f t="shared" si="4"/>
        <v/>
      </c>
      <c r="Y13" s="71"/>
      <c r="Z13" s="41" t="str">
        <f>IF($Y13=$BM$9, $BM$9,
        IF(AND($T13 = $BM$9, $Y13 = $BO$9), $BN$9,
             IF($BL13=マスタ!$C$3,
                  IF($X13&lt;=$BW$9, $BM$9,$BN$9),
                       IF(OR($BL13=マスタ!$C$4, $BL13=マスタ!$C$5, $BL13=マスタ!$C$6, $BL13=マスタ!$C$7, $BL13=マスタ!$C$8),
                            IF($X13&lt;=$BX$9, $BM$9,$BN$9), ""))))</f>
        <v/>
      </c>
      <c r="AA13" s="71"/>
      <c r="AB13" s="71"/>
      <c r="AC13" s="71"/>
      <c r="AD13" s="165"/>
      <c r="AE13" s="71"/>
      <c r="AF13" s="165"/>
      <c r="AG13" s="92"/>
      <c r="AH13" s="92"/>
      <c r="AI13" s="92"/>
      <c r="AJ13" s="92"/>
      <c r="AK13" s="121"/>
      <c r="AL13" s="121"/>
      <c r="AM13" s="121"/>
      <c r="AN13" s="121"/>
      <c r="AO13" s="92"/>
      <c r="AP13" s="130" t="str">
        <f t="shared" si="5"/>
        <v/>
      </c>
      <c r="AQ13" s="121"/>
      <c r="AR13" s="101" t="str">
        <f>IF(OR(SUMPRODUCT(--(AJ13:AQ13&lt;&gt;""))&lt;7,AND($AJ13=マスタ!$N$3,$AK13="")), "",
        IF($AJ13=マスタ!$N$5, $BO$9,
              IF(OR($F13=マスタ!$C$3, $F13=マスタ!$C$4, $F13=マスタ!$C$5),
                    IF(SUM($AL13,$AM13,$AP13,$AQ13)&gt;=1, $BM$9, $BN$9),
              IF(OR($F13=マスタ!$C$6, $F13=マスタ!$C$7, $F13=マスタ!$C$8),
                    IF($AK13&lt;10, $BO$9,
                          IF(AND(SUM($AL13,$AM13,$AP13,$AQ13)&gt;=($AK13*0.2), $AM13+$AP13+$AQ13&gt;=1),
                               $BM$9,$BN$9))))))</f>
        <v/>
      </c>
      <c r="AS13" s="101" t="str">
        <f>IF(OR(SUMPRODUCT(--(AJ13:AQ13&lt;&gt;""))&lt;7,AND($AJ13=マスタ!$N$3,$AK13="")), "",
     IF($AR13=$BN$9,$BN$9,
        IF($AJ13=マスタ!$N$5, $BO$9,
             IF(OR($F13=マスタ!$C$3, $F13=マスタ!$C$4, $F13=マスタ!$C$5),
                   IF($AQ13&gt;=1, $BM$9, $BN$9),
             IF(OR($F13=マスタ!$C$6, $F13=マスタ!$C$7, $F13=マスタ!$C$8),
                   IF($AK13&lt;5, IF($AQ13&gt;=1, $BM$9, $BN$9),
                         IF(OR($AQ13&gt;=1,
                                    AND(SUM($AL13,$AM13,$AP13,$AQ13)&gt;=$AK13*0.5, ($AM13+$AP13+$AQ13)&gt;=($AK13*0.2))),
                              $BM$9,$BN$9)))))))</f>
        <v/>
      </c>
      <c r="AT13" s="66"/>
      <c r="AU13" s="143"/>
      <c r="AV13" s="98" t="str" cm="1">
        <f t="array" aca="1" ref="AV13" ca="1">IF(AND($F13:$G13&lt;&gt;"", $I13:$K13&lt;&gt;"",
                 IF(OR($M13=$BM$9,$O13=$BM$9), TRUE, $L13&lt;&gt;""),
                 $M13&lt;&gt;"",$O13&lt;&gt;"",
                 IF($T13=$BM$9, TRUE, $Q13:$R13&lt;&gt;""),
                 IF(AND($BL13&lt;&gt;"", $BL13&lt;&gt;マスタ!$C$5, $BL13&lt;&gt;マスタ!$C$8), TRUE, $T13&lt;&gt;""),
                 IF(OR(AND($T13=$BM$9,  $Y13=$BO$9), $Y13=$BM$9), TRUE,$W13&lt;&gt;""),
                 IF(AND($BL13&lt;&gt;"", $BL13&lt;&gt;マスタ!$C$5, $BL13&lt;&gt;マスタ!$C$8), TRUE, $Y13&lt;&gt;""),
                 $AA13&lt;&gt;"",
                 IF($AA13=マスタ!$F$4, TRUE, $AB13&lt;&gt;""),
                 $AG13:$AO13&lt;&gt;"", $AQ13&lt;&gt;"", $AT13&lt;&gt;""),
        "（正常）入力済み", IF($C13= "", "（複数入力）未入力", "（エラー）一部未入力"))</f>
        <v>（複数入力）未入力</v>
      </c>
      <c r="AW13" s="98" t="str">
        <f t="shared" ca="1" si="6"/>
        <v/>
      </c>
      <c r="AX13" s="98" t="str">
        <f t="shared" ca="1" si="7"/>
        <v/>
      </c>
      <c r="AY13" s="98" t="str">
        <f t="shared" ca="1" si="8"/>
        <v/>
      </c>
      <c r="AZ13" s="98" t="str">
        <f t="shared" ca="1" si="9"/>
        <v/>
      </c>
      <c r="BA13" s="98" t="str">
        <f t="shared" ca="1" si="10"/>
        <v/>
      </c>
      <c r="BB13" s="98" t="str">
        <f t="shared" ca="1" si="11"/>
        <v/>
      </c>
      <c r="BC13" s="98" t="str">
        <f t="shared" ca="1" si="12"/>
        <v/>
      </c>
      <c r="BD13" s="98" t="str">
        <f t="shared" ca="1" si="13"/>
        <v/>
      </c>
      <c r="BE13" s="98" t="str">
        <f>IF($BL13="","",
   IF($T13=入力不可用2,
      IF(OR($BL13=マスタ!$C$5,$BL13=マスタ!$C$8), "未入力", "（正常）規定値"),
      IF(OR($BL13=マスタ!$C$5,$BL13=マスタ!$C$8), "（正常）規定値", "（エラー）値入力不可")))</f>
        <v/>
      </c>
      <c r="BF13" s="98" t="str">
        <f ca="1">IF($C13 = "", "",
       IF(AND(OR($BL13=マスタ!$C$5, $BL13=マスタ!$C$8), $T13 = ""), "未入力",
            IF(AND($Y13 = $BM$9, $T13 = $BO$9), "（エラー）「適合」のみ入力可", "（正常）規定値")))</f>
        <v/>
      </c>
      <c r="BG13" s="98" t="str">
        <f t="shared" ca="1" si="14"/>
        <v/>
      </c>
      <c r="BH13" s="98" t="str">
        <f t="shared" ca="1" si="15"/>
        <v/>
      </c>
      <c r="BI13" s="98" t="str">
        <f>IF($BL13="","",
   IF($Y13=入力不可用2,
      IF(OR($BL13=マスタ!$C$5,$BL13=マスタ!$C$8), "未入力", "（正常）規定値"),
      IF(OR($BL13=マスタ!$C$5,$BL13=マスタ!$C$8), "（正常）規定値", "（エラー）値入力不可")))</f>
        <v/>
      </c>
      <c r="BJ13" s="98" t="str">
        <f>IF($AA13="", "",
        IF($AA13=マスタ!$F$3,
             IF($AB13="", "未入力", "（正常）規定値"),
                  IF($AA13=マスタ!$F$4,
                       IF($AB13&lt;&gt;入力不可用2, "（エラー）値入力不可", "（正常）規定値"))))</f>
        <v/>
      </c>
      <c r="BL13" s="75" t="str">
        <f>IF(OR($F13 = マスタ!$C$5, F13 = マスタ!$C$8), $F13,
        IF(AND($F13 = マスタ!$C$3, 'その１事業者基本情報_入力シート（一部非公開）'!$U$16), $F13,
             IF(AND($F13 = マスタ!$C$4, 'その１事業者基本情報_入力シート（一部非公開）'!$S$16), $F13,
                  IF(AND(OR($F13 = マスタ!$C$6, $F13 = マスタ!$C$7),
                                'その１事業者基本情報_入力シート（一部非公開）'!$W$16), $F13,
                       IF(OR($F13 = マスタ!$C$3, $F13=マスタ!$C$4), マスタ!$C$5,
                            IF(OR($F13 = マスタ!$C$6, $F13 = マスタ!$C$7), マスタ!$C$8, ""))))))</f>
        <v/>
      </c>
      <c r="BM13" s="75" t="str">
        <f>IF($L13&lt;&gt;"", $L13,
       IF($M13 = マスタ!$B$3,
          IF(OR($F13=マスタ!$C$3,$F13=マスタ!$C$4,$F13=マスタ!$C$5),
            IF(OR($G13 = マスタ!$D$54, $G13 = マスタ!$D$55), 0.75, 0.87),
            IF(OR($G13 = マスタ!$D$54, $G13 = マスタ!$D$55), 0.62, 0.72)),
                 IF(ISBLANK($L13), "", $L13)))</f>
        <v/>
      </c>
      <c r="BN13" s="99" t="str">
        <f>IF($L13&lt;&gt;"", $L13,
        IF($O13 = マスタ!$B$3,
          IF(OR($F13=マスタ!$C$3,$F13=マスタ!$C$4,$F13=マスタ!$C$5), 0.6, 0.5),
             IF(ISBLANK($L13), "", $L13)))</f>
        <v/>
      </c>
      <c r="BO13" s="99" t="str">
        <f>IF($T13&lt;&gt;マスタ!$B$3,
        IF(ISBLANK($S13),"",$S13),
             IF($BL13=マスタ!$C$3,0.8,
             IF($BL13=マスタ!$C$4,0.85,
             IF($BL13=マスタ!$C$6,0.9,
             IF($BL13=マスタ!$C$7,0.9,
             IF($BL13=マスタ!$C$5,1,
             IF($BL13=マスタ!$C$8,1,"無効な入力")))))))</f>
        <v/>
      </c>
      <c r="BP13" s="99" t="str">
        <f>IF($Y13&lt;&gt;マスタ!$B$3,
   IF(ISBLANK($X13), "", $X13),
   IF($BL13=マスタ!$C$3, 0.75,
      IF($BL13=マスタ!$C$4, 0.8,
         IF($BL13=マスタ!$C$6, 0.8,
            IF($BL13=マスタ!$C$7, 0.8,
               IF($BL13=マスタ!$C$5, 0.8,
                  IF($BL13=マスタ!$C$8, 0.8, "無効な入力")))))))</f>
        <v/>
      </c>
      <c r="BQ13" s="75"/>
      <c r="BR13" s="75"/>
      <c r="BS13" s="75"/>
      <c r="BT13" s="75"/>
      <c r="BU13" s="75"/>
      <c r="BV13" s="75"/>
      <c r="BW13" s="75"/>
      <c r="BX13" s="75"/>
      <c r="BY13" s="75"/>
    </row>
    <row r="14" spans="1:78" ht="30.75" customHeight="1">
      <c r="C14" s="69" t="str" cm="1">
        <f t="array" aca="1" ref="C14" ca="1">IF(SUMPRODUCT(--($D14:$AU14 &lt;&gt; "")),RIGHT(YEAR(TODAY()),2)&amp;"01"&amp;REPT("0",4-LEN(ROW()-11))&amp;ROW()-11,"")</f>
        <v/>
      </c>
      <c r="D14" s="141"/>
      <c r="E14" s="142"/>
      <c r="F14" s="71"/>
      <c r="G14" s="66"/>
      <c r="H14" s="41" t="str">
        <f>IFERROR(VLOOKUP(G14,マスタ!$D$3:$E$55,2,FALSE),"")</f>
        <v/>
      </c>
      <c r="I14" s="93"/>
      <c r="J14" s="77"/>
      <c r="K14" s="66"/>
      <c r="L14" s="103"/>
      <c r="M14" s="71"/>
      <c r="N14" s="101" t="str">
        <f>IF($M14 = $BM$9, $BM$9,
        IF($L14 = "", "",
              IF(OR(
                          AND(OR($G14 = マスタ!$D$54, $G14 = マスタ!$D$55), $L14 &lt;= $BP$9),
                          AND($G14 &lt;&gt; マスタ!$D$54, $G14 &lt;&gt; マスタ!$D$55, $L14 &lt;= $BQ$9)
                         ), $BM$9, $BN$9)))</f>
        <v/>
      </c>
      <c r="O14" s="71"/>
      <c r="P14" s="101" t="str">
        <f t="shared" si="1"/>
        <v/>
      </c>
      <c r="Q14" s="124"/>
      <c r="R14" s="124"/>
      <c r="S14" s="112" t="str">
        <f t="shared" si="2"/>
        <v/>
      </c>
      <c r="T14" s="71"/>
      <c r="U14" s="41" t="str">
        <f>IF($T14=$BM$9, $BM$9,
        IF($S14="", "",
             IF(OR(AND($BL14=マスタ!$C$3, $S14&lt;=$BS$9),
                        AND($BL14=マスタ!$C$4, $S14&lt;=$BT$9),
                        AND(OR($BL14=マスタ!$C$6, $BL14=マスタ!$C$7), $S14&lt;=$BU$9),
                        AND(OR($BL14=マスタ!$C$5, $BL14=マスタ!$C$8), $S14&lt;=$BV$9)),
                  $BM$9, $BN$9)))</f>
        <v/>
      </c>
      <c r="V14" s="129" t="str">
        <f t="shared" si="3"/>
        <v/>
      </c>
      <c r="W14" s="124"/>
      <c r="X14" s="112" t="str">
        <f t="shared" si="4"/>
        <v/>
      </c>
      <c r="Y14" s="71"/>
      <c r="Z14" s="41" t="str">
        <f>IF($Y14=$BM$9, $BM$9,
        IF(AND($T14 = $BM$9, $Y14 = $BO$9), $BN$9,
             IF($BL14=マスタ!$C$3,
                  IF($X14&lt;=$BW$9, $BM$9,$BN$9),
                       IF(OR($BL14=マスタ!$C$4, $BL14=マスタ!$C$5, $BL14=マスタ!$C$6, $BL14=マスタ!$C$7, $BL14=マスタ!$C$8),
                            IF($X14&lt;=$BX$9, $BM$9,$BN$9), ""))))</f>
        <v/>
      </c>
      <c r="AA14" s="71"/>
      <c r="AB14" s="71"/>
      <c r="AC14" s="71"/>
      <c r="AD14" s="165"/>
      <c r="AE14" s="71"/>
      <c r="AF14" s="165"/>
      <c r="AG14" s="92"/>
      <c r="AH14" s="92"/>
      <c r="AI14" s="92"/>
      <c r="AJ14" s="92"/>
      <c r="AK14" s="121"/>
      <c r="AL14" s="121"/>
      <c r="AM14" s="121"/>
      <c r="AN14" s="121"/>
      <c r="AO14" s="92"/>
      <c r="AP14" s="130" t="str">
        <f t="shared" si="5"/>
        <v/>
      </c>
      <c r="AQ14" s="121"/>
      <c r="AR14" s="101" t="str">
        <f>IF(OR(SUMPRODUCT(--(AJ14:AQ14&lt;&gt;""))&lt;7,AND($AJ14=マスタ!$N$3,$AK14="")), "",
        IF($AJ14=マスタ!$N$5, $BO$9,
              IF(OR($F14=マスタ!$C$3, $F14=マスタ!$C$4, $F14=マスタ!$C$5),
                    IF(SUM($AL14,$AM14,$AP14,$AQ14)&gt;=1, $BM$9, $BN$9),
              IF(OR($F14=マスタ!$C$6, $F14=マスタ!$C$7, $F14=マスタ!$C$8),
                    IF($AK14&lt;10, $BO$9,
                          IF(AND(SUM($AL14,$AM14,$AP14,$AQ14)&gt;=($AK14*0.2), $AM14+$AP14+$AQ14&gt;=1),
                               $BM$9,$BN$9))))))</f>
        <v/>
      </c>
      <c r="AS14" s="101" t="str">
        <f>IF(OR(SUMPRODUCT(--(AJ14:AQ14&lt;&gt;""))&lt;7,AND($AJ14=マスタ!$N$3,$AK14="")), "",
     IF($AR14=$BN$9,$BN$9,
        IF($AJ14=マスタ!$N$5, $BO$9,
             IF(OR($F14=マスタ!$C$3, $F14=マスタ!$C$4, $F14=マスタ!$C$5),
                   IF($AQ14&gt;=1, $BM$9, $BN$9),
             IF(OR($F14=マスタ!$C$6, $F14=マスタ!$C$7, $F14=マスタ!$C$8),
                   IF($AK14&lt;5, IF($AQ14&gt;=1, $BM$9, $BN$9),
                         IF(OR($AQ14&gt;=1,
                                    AND(SUM($AL14,$AM14,$AP14,$AQ14)&gt;=$AK14*0.5, ($AM14+$AP14+$AQ14)&gt;=($AK14*0.2))),
                              $BM$9,$BN$9)))))))</f>
        <v/>
      </c>
      <c r="AT14" s="66"/>
      <c r="AU14" s="143"/>
      <c r="AV14" s="98" t="str" cm="1">
        <f t="array" aca="1" ref="AV14" ca="1">IF(AND($F14:$G14&lt;&gt;"", $I14:$K14&lt;&gt;"",
                 IF(OR($M14=$BM$9,$O14=$BM$9), TRUE, $L14&lt;&gt;""),
                 $M14&lt;&gt;"",$O14&lt;&gt;"",
                 IF($T14=$BM$9, TRUE, $Q14:$R14&lt;&gt;""),
                 IF(AND($BL14&lt;&gt;"", $BL14&lt;&gt;マスタ!$C$5, $BL14&lt;&gt;マスタ!$C$8), TRUE, $T14&lt;&gt;""),
                 IF(OR(AND($T14=$BM$9,  $Y14=$BO$9), $Y14=$BM$9), TRUE,$W14&lt;&gt;""),
                 IF(AND($BL14&lt;&gt;"", $BL14&lt;&gt;マスタ!$C$5, $BL14&lt;&gt;マスタ!$C$8), TRUE, $Y14&lt;&gt;""),
                 $AA14&lt;&gt;"",
                 IF($AA14=マスタ!$F$4, TRUE, $AB14&lt;&gt;""),
                 $AG14:$AO14&lt;&gt;"", $AQ14&lt;&gt;"", $AT14&lt;&gt;""),
        "（正常）入力済み", IF($C14= "", "（複数入力）未入力", "（エラー）一部未入力"))</f>
        <v>（複数入力）未入力</v>
      </c>
      <c r="AW14" s="98" t="str">
        <f t="shared" ca="1" si="6"/>
        <v/>
      </c>
      <c r="AX14" s="98" t="str">
        <f t="shared" ca="1" si="7"/>
        <v/>
      </c>
      <c r="AY14" s="98" t="str">
        <f t="shared" ca="1" si="8"/>
        <v/>
      </c>
      <c r="AZ14" s="98" t="str">
        <f t="shared" ca="1" si="9"/>
        <v/>
      </c>
      <c r="BA14" s="98" t="str">
        <f t="shared" ca="1" si="10"/>
        <v/>
      </c>
      <c r="BB14" s="98" t="str">
        <f t="shared" ca="1" si="11"/>
        <v/>
      </c>
      <c r="BC14" s="98" t="str">
        <f t="shared" ca="1" si="12"/>
        <v/>
      </c>
      <c r="BD14" s="98" t="str">
        <f t="shared" ca="1" si="13"/>
        <v/>
      </c>
      <c r="BE14" s="98" t="str">
        <f>IF($BL14="","",
   IF($T14=入力不可用2,
      IF(OR($BL14=マスタ!$C$5,$BL14=マスタ!$C$8), "未入力", "（正常）規定値"),
      IF(OR($BL14=マスタ!$C$5,$BL14=マスタ!$C$8), "（正常）規定値", "（エラー）値入力不可")))</f>
        <v/>
      </c>
      <c r="BF14" s="98" t="str">
        <f ca="1">IF($C14 = "", "",
       IF(AND(OR($BL14=マスタ!$C$5, $BL14=マスタ!$C$8), $T14 = ""), "未入力",
            IF(AND($Y14 = $BM$9, $T14 = $BO$9), "（エラー）「適合」のみ入力可", "（正常）規定値")))</f>
        <v/>
      </c>
      <c r="BG14" s="98" t="str">
        <f t="shared" ca="1" si="14"/>
        <v/>
      </c>
      <c r="BH14" s="98" t="str">
        <f t="shared" ca="1" si="15"/>
        <v/>
      </c>
      <c r="BI14" s="98" t="str">
        <f>IF($BL14="","",
   IF($Y14=入力不可用2,
      IF(OR($BL14=マスタ!$C$5,$BL14=マスタ!$C$8), "未入力", "（正常）規定値"),
      IF(OR($BL14=マスタ!$C$5,$BL14=マスタ!$C$8), "（正常）規定値", "（エラー）値入力不可")))</f>
        <v/>
      </c>
      <c r="BJ14" s="98" t="str">
        <f>IF($AA14="", "",
        IF($AA14=マスタ!$F$3,
             IF($AB14="", "未入力", "（正常）規定値"),
                  IF($AA14=マスタ!$F$4,
                       IF($AB14&lt;&gt;入力不可用2, "（エラー）値入力不可", "（正常）規定値"))))</f>
        <v/>
      </c>
      <c r="BL14" s="75" t="str">
        <f>IF(OR($F14 = マスタ!$C$5, F14 = マスタ!$C$8), $F14,
        IF(AND($F14 = マスタ!$C$3, 'その１事業者基本情報_入力シート（一部非公開）'!$U$16), $F14,
             IF(AND($F14 = マスタ!$C$4, 'その１事業者基本情報_入力シート（一部非公開）'!$S$16), $F14,
                  IF(AND(OR($F14 = マスタ!$C$6, $F14 = マスタ!$C$7),
                                'その１事業者基本情報_入力シート（一部非公開）'!$W$16), $F14,
                       IF(OR($F14 = マスタ!$C$3, $F14=マスタ!$C$4), マスタ!$C$5,
                            IF(OR($F14 = マスタ!$C$6, $F14 = マスタ!$C$7), マスタ!$C$8, ""))))))</f>
        <v/>
      </c>
      <c r="BM14" s="75" t="str">
        <f>IF($L14&lt;&gt;"", $L14,
       IF($M14 = マスタ!$B$3,
          IF(OR($F14=マスタ!$C$3,$F14=マスタ!$C$4,$F14=マスタ!$C$5),
            IF(OR($G14 = マスタ!$D$54, $G14 = マスタ!$D$55), 0.75, 0.87),
            IF(OR($G14 = マスタ!$D$54, $G14 = マスタ!$D$55), 0.62, 0.72)),
                 IF(ISBLANK($L14), "", $L14)))</f>
        <v/>
      </c>
      <c r="BN14" s="99" t="str">
        <f>IF($L14&lt;&gt;"", $L14,
        IF($O14 = マスタ!$B$3,
          IF(OR($F14=マスタ!$C$3,$F14=マスタ!$C$4,$F14=マスタ!$C$5), 0.6, 0.5),
             IF(ISBLANK($L14), "", $L14)))</f>
        <v/>
      </c>
      <c r="BO14" s="99" t="str">
        <f>IF($T14&lt;&gt;マスタ!$B$3,
        IF(ISBLANK($S14),"",$S14),
             IF($BL14=マスタ!$C$3,0.8,
             IF($BL14=マスタ!$C$4,0.85,
             IF($BL14=マスタ!$C$6,0.9,
             IF($BL14=マスタ!$C$7,0.9,
             IF($BL14=マスタ!$C$5,1,
             IF($BL14=マスタ!$C$8,1,"無効な入力")))))))</f>
        <v/>
      </c>
      <c r="BP14" s="99" t="str">
        <f>IF($Y14&lt;&gt;マスタ!$B$3,
   IF(ISBLANK($X14), "", $X14),
   IF($BL14=マスタ!$C$3, 0.75,
      IF($BL14=マスタ!$C$4, 0.8,
         IF($BL14=マスタ!$C$6, 0.8,
            IF($BL14=マスタ!$C$7, 0.8,
               IF($BL14=マスタ!$C$5, 0.8,
                  IF($BL14=マスタ!$C$8, 0.8, "無効な入力")))))))</f>
        <v/>
      </c>
      <c r="BQ14" s="75"/>
      <c r="BR14" s="75"/>
      <c r="BS14" s="75"/>
      <c r="BT14" s="75"/>
      <c r="BU14" s="75"/>
      <c r="BV14" s="75"/>
      <c r="BW14" s="75"/>
      <c r="BX14" s="75"/>
      <c r="BY14" s="75"/>
    </row>
    <row r="15" spans="1:78" ht="30.75" customHeight="1">
      <c r="C15" s="69" t="str" cm="1">
        <f t="array" aca="1" ref="C15" ca="1">IF(SUMPRODUCT(--($D15:$AU15 &lt;&gt; "")),RIGHT(YEAR(TODAY()),2)&amp;"01"&amp;REPT("0",4-LEN(ROW()-11))&amp;ROW()-11,"")</f>
        <v/>
      </c>
      <c r="D15" s="141"/>
      <c r="E15" s="142"/>
      <c r="F15" s="71"/>
      <c r="G15" s="66"/>
      <c r="H15" s="41" t="str">
        <f>IFERROR(VLOOKUP(G15,マスタ!$D$3:$E$55,2,FALSE),"")</f>
        <v/>
      </c>
      <c r="I15" s="93"/>
      <c r="J15" s="77"/>
      <c r="K15" s="66"/>
      <c r="L15" s="103"/>
      <c r="M15" s="71"/>
      <c r="N15" s="101" t="str">
        <f>IF($M15 = $BM$9, $BM$9,
        IF($L15 = "", "",
              IF(OR(
                          AND(OR($G15 = マスタ!$D$54, $G15 = マスタ!$D$55), $L15 &lt;= $BP$9),
                          AND($G15 &lt;&gt; マスタ!$D$54, $G15 &lt;&gt; マスタ!$D$55, $L15 &lt;= $BQ$9)
                         ), $BM$9, $BN$9)))</f>
        <v/>
      </c>
      <c r="O15" s="71"/>
      <c r="P15" s="101" t="str">
        <f t="shared" si="1"/>
        <v/>
      </c>
      <c r="Q15" s="124"/>
      <c r="R15" s="124"/>
      <c r="S15" s="112" t="str">
        <f t="shared" si="2"/>
        <v/>
      </c>
      <c r="T15" s="71"/>
      <c r="U15" s="41" t="str">
        <f>IF($T15=$BM$9, $BM$9,
        IF($S15="", "",
             IF(OR(AND($BL15=マスタ!$C$3, $S15&lt;=$BS$9),
                        AND($BL15=マスタ!$C$4, $S15&lt;=$BT$9),
                        AND(OR($BL15=マスタ!$C$6, $BL15=マスタ!$C$7), $S15&lt;=$BU$9),
                        AND(OR($BL15=マスタ!$C$5, $BL15=マスタ!$C$8), $S15&lt;=$BV$9)),
                  $BM$9, $BN$9)))</f>
        <v/>
      </c>
      <c r="V15" s="129" t="str">
        <f t="shared" si="3"/>
        <v/>
      </c>
      <c r="W15" s="124"/>
      <c r="X15" s="112" t="str">
        <f t="shared" si="4"/>
        <v/>
      </c>
      <c r="Y15" s="71"/>
      <c r="Z15" s="41" t="str">
        <f>IF($Y15=$BM$9, $BM$9,
        IF(AND($T15 = $BM$9, $Y15 = $BO$9), $BN$9,
             IF($BL15=マスタ!$C$3,
                  IF($X15&lt;=$BW$9, $BM$9,$BN$9),
                       IF(OR($BL15=マスタ!$C$4, $BL15=マスタ!$C$5, $BL15=マスタ!$C$6, $BL15=マスタ!$C$7, $BL15=マスタ!$C$8),
                            IF($X15&lt;=$BX$9, $BM$9,$BN$9), ""))))</f>
        <v/>
      </c>
      <c r="AA15" s="71"/>
      <c r="AB15" s="71"/>
      <c r="AC15" s="71"/>
      <c r="AD15" s="165"/>
      <c r="AE15" s="71"/>
      <c r="AF15" s="165"/>
      <c r="AG15" s="92"/>
      <c r="AH15" s="92"/>
      <c r="AI15" s="92"/>
      <c r="AJ15" s="92"/>
      <c r="AK15" s="121"/>
      <c r="AL15" s="121"/>
      <c r="AM15" s="121"/>
      <c r="AN15" s="121"/>
      <c r="AO15" s="92"/>
      <c r="AP15" s="130" t="str">
        <f t="shared" si="5"/>
        <v/>
      </c>
      <c r="AQ15" s="121"/>
      <c r="AR15" s="101" t="str">
        <f>IF(OR(SUMPRODUCT(--(AJ15:AQ15&lt;&gt;""))&lt;7,AND($AJ15=マスタ!$N$3,$AK15="")), "",
        IF($AJ15=マスタ!$N$5, $BO$9,
              IF(OR($F15=マスタ!$C$3, $F15=マスタ!$C$4, $F15=マスタ!$C$5),
                    IF(SUM($AL15,$AM15,$AP15,$AQ15)&gt;=1, $BM$9, $BN$9),
              IF(OR($F15=マスタ!$C$6, $F15=マスタ!$C$7, $F15=マスタ!$C$8),
                    IF($AK15&lt;10, $BO$9,
                          IF(AND(SUM($AL15,$AM15,$AP15,$AQ15)&gt;=($AK15*0.2), $AM15+$AP15+$AQ15&gt;=1),
                               $BM$9,$BN$9))))))</f>
        <v/>
      </c>
      <c r="AS15" s="101" t="str">
        <f>IF(OR(SUMPRODUCT(--(AJ15:AQ15&lt;&gt;""))&lt;7,AND($AJ15=マスタ!$N$3,$AK15="")), "",
     IF($AR15=$BN$9,$BN$9,
        IF($AJ15=マスタ!$N$5, $BO$9,
             IF(OR($F15=マスタ!$C$3, $F15=マスタ!$C$4, $F15=マスタ!$C$5),
                   IF($AQ15&gt;=1, $BM$9, $BN$9),
             IF(OR($F15=マスタ!$C$6, $F15=マスタ!$C$7, $F15=マスタ!$C$8),
                   IF($AK15&lt;5, IF($AQ15&gt;=1, $BM$9, $BN$9),
                         IF(OR($AQ15&gt;=1,
                                    AND(SUM($AL15,$AM15,$AP15,$AQ15)&gt;=$AK15*0.5, ($AM15+$AP15+$AQ15)&gt;=($AK15*0.2))),
                              $BM$9,$BN$9)))))))</f>
        <v/>
      </c>
      <c r="AT15" s="66"/>
      <c r="AU15" s="143"/>
      <c r="AV15" s="98" t="str" cm="1">
        <f t="array" aca="1" ref="AV15" ca="1">IF(AND($F15:$G15&lt;&gt;"", $I15:$K15&lt;&gt;"",
                 IF(OR($M15=$BM$9,$O15=$BM$9), TRUE, $L15&lt;&gt;""),
                 $M15&lt;&gt;"",$O15&lt;&gt;"",
                 IF($T15=$BM$9, TRUE, $Q15:$R15&lt;&gt;""),
                 IF(AND($BL15&lt;&gt;"", $BL15&lt;&gt;マスタ!$C$5, $BL15&lt;&gt;マスタ!$C$8), TRUE, $T15&lt;&gt;""),
                 IF(OR(AND($T15=$BM$9,  $Y15=$BO$9), $Y15=$BM$9), TRUE,$W15&lt;&gt;""),
                 IF(AND($BL15&lt;&gt;"", $BL15&lt;&gt;マスタ!$C$5, $BL15&lt;&gt;マスタ!$C$8), TRUE, $Y15&lt;&gt;""),
                 $AA15&lt;&gt;"",
                 IF($AA15=マスタ!$F$4, TRUE, $AB15&lt;&gt;""),
                 $AG15:$AO15&lt;&gt;"", $AQ15&lt;&gt;"", $AT15&lt;&gt;""),
        "（正常）入力済み", IF($C15= "", "（複数入力）未入力", "（エラー）一部未入力"))</f>
        <v>（複数入力）未入力</v>
      </c>
      <c r="AW15" s="98" t="str">
        <f t="shared" ca="1" si="6"/>
        <v/>
      </c>
      <c r="AX15" s="98" t="str">
        <f t="shared" ca="1" si="7"/>
        <v/>
      </c>
      <c r="AY15" s="98" t="str">
        <f t="shared" ca="1" si="8"/>
        <v/>
      </c>
      <c r="AZ15" s="98" t="str">
        <f t="shared" ca="1" si="9"/>
        <v/>
      </c>
      <c r="BA15" s="98" t="str">
        <f t="shared" ca="1" si="10"/>
        <v/>
      </c>
      <c r="BB15" s="98" t="str">
        <f t="shared" ca="1" si="11"/>
        <v/>
      </c>
      <c r="BC15" s="98" t="str">
        <f t="shared" ca="1" si="12"/>
        <v/>
      </c>
      <c r="BD15" s="98" t="str">
        <f t="shared" ca="1" si="13"/>
        <v/>
      </c>
      <c r="BE15" s="98" t="str">
        <f>IF($BL15="","",
   IF($T15=入力不可用2,
      IF(OR($BL15=マスタ!$C$5,$BL15=マスタ!$C$8), "未入力", "（正常）規定値"),
      IF(OR($BL15=マスタ!$C$5,$BL15=マスタ!$C$8), "（正常）規定値", "（エラー）値入力不可")))</f>
        <v/>
      </c>
      <c r="BF15" s="98" t="str">
        <f ca="1">IF($C15 = "", "",
       IF(AND(OR($BL15=マスタ!$C$5, $BL15=マスタ!$C$8), $T15 = ""), "未入力",
            IF(AND($Y15 = $BM$9, $T15 = $BO$9), "（エラー）「適合」のみ入力可", "（正常）規定値")))</f>
        <v/>
      </c>
      <c r="BG15" s="98" t="str">
        <f t="shared" ca="1" si="14"/>
        <v/>
      </c>
      <c r="BH15" s="98" t="str">
        <f t="shared" ca="1" si="15"/>
        <v/>
      </c>
      <c r="BI15" s="98" t="str">
        <f>IF($BL15="","",
   IF($Y15=入力不可用2,
      IF(OR($BL15=マスタ!$C$5,$BL15=マスタ!$C$8), "未入力", "（正常）規定値"),
      IF(OR($BL15=マスタ!$C$5,$BL15=マスタ!$C$8), "（正常）規定値", "（エラー）値入力不可")))</f>
        <v/>
      </c>
      <c r="BJ15" s="98" t="str">
        <f>IF($AA15="", "",
        IF($AA15=マスタ!$F$3,
             IF($AB15="", "未入力", "（正常）規定値"),
                  IF($AA15=マスタ!$F$4,
                       IF($AB15&lt;&gt;入力不可用2, "（エラー）値入力不可", "（正常）規定値"))))</f>
        <v/>
      </c>
      <c r="BL15" s="75" t="str">
        <f>IF(OR($F15 = マスタ!$C$5, F15 = マスタ!$C$8), $F15,
        IF(AND($F15 = マスタ!$C$3, 'その１事業者基本情報_入力シート（一部非公開）'!$U$16), $F15,
             IF(AND($F15 = マスタ!$C$4, 'その１事業者基本情報_入力シート（一部非公開）'!$S$16), $F15,
                  IF(AND(OR($F15 = マスタ!$C$6, $F15 = マスタ!$C$7),
                                'その１事業者基本情報_入力シート（一部非公開）'!$W$16), $F15,
                       IF(OR($F15 = マスタ!$C$3, $F15=マスタ!$C$4), マスタ!$C$5,
                            IF(OR($F15 = マスタ!$C$6, $F15 = マスタ!$C$7), マスタ!$C$8, ""))))))</f>
        <v/>
      </c>
      <c r="BM15" s="75" t="str">
        <f>IF($L15&lt;&gt;"", $L15,
       IF($M15 = マスタ!$B$3,
          IF(OR($F15=マスタ!$C$3,$F15=マスタ!$C$4,$F15=マスタ!$C$5),
            IF(OR($G15 = マスタ!$D$54, $G15 = マスタ!$D$55), 0.75, 0.87),
            IF(OR($G15 = マスタ!$D$54, $G15 = マスタ!$D$55), 0.62, 0.72)),
                 IF(ISBLANK($L15), "", $L15)))</f>
        <v/>
      </c>
      <c r="BN15" s="99" t="str">
        <f>IF($L15&lt;&gt;"", $L15,
        IF($O15 = マスタ!$B$3,
          IF(OR($F15=マスタ!$C$3,$F15=マスタ!$C$4,$F15=マスタ!$C$5), 0.6, 0.5),
             IF(ISBLANK($L15), "", $L15)))</f>
        <v/>
      </c>
      <c r="BO15" s="99" t="str">
        <f>IF($T15&lt;&gt;マスタ!$B$3,
        IF(ISBLANK($S15),"",$S15),
             IF($BL15=マスタ!$C$3,0.8,
             IF($BL15=マスタ!$C$4,0.85,
             IF($BL15=マスタ!$C$6,0.9,
             IF($BL15=マスタ!$C$7,0.9,
             IF($BL15=マスタ!$C$5,1,
             IF($BL15=マスタ!$C$8,1,"無効な入力")))))))</f>
        <v/>
      </c>
      <c r="BP15" s="99" t="str">
        <f>IF($Y15&lt;&gt;マスタ!$B$3,
   IF(ISBLANK($X15), "", $X15),
   IF($BL15=マスタ!$C$3, 0.75,
      IF($BL15=マスタ!$C$4, 0.8,
         IF($BL15=マスタ!$C$6, 0.8,
            IF($BL15=マスタ!$C$7, 0.8,
               IF($BL15=マスタ!$C$5, 0.8,
                  IF($BL15=マスタ!$C$8, 0.8, "無効な入力")))))))</f>
        <v/>
      </c>
      <c r="BQ15" s="75"/>
      <c r="BR15" s="75"/>
      <c r="BS15" s="75"/>
      <c r="BT15" s="75"/>
      <c r="BU15" s="75"/>
      <c r="BV15" s="75"/>
      <c r="BW15" s="75"/>
      <c r="BX15" s="75"/>
      <c r="BY15" s="75"/>
    </row>
    <row r="16" spans="1:78" ht="30.75" customHeight="1">
      <c r="C16" s="69" t="str" cm="1">
        <f t="array" aca="1" ref="C16" ca="1">IF(SUMPRODUCT(--($D16:$AU16 &lt;&gt; "")),RIGHT(YEAR(TODAY()),2)&amp;"01"&amp;REPT("0",4-LEN(ROW()-11))&amp;ROW()-11,"")</f>
        <v/>
      </c>
      <c r="D16" s="141"/>
      <c r="E16" s="142"/>
      <c r="F16" s="71"/>
      <c r="G16" s="66"/>
      <c r="H16" s="41" t="str">
        <f>IFERROR(VLOOKUP(G16,マスタ!$D$3:$E$55,2,FALSE),"")</f>
        <v/>
      </c>
      <c r="I16" s="93"/>
      <c r="J16" s="77"/>
      <c r="K16" s="66"/>
      <c r="L16" s="103"/>
      <c r="M16" s="71"/>
      <c r="N16" s="101" t="str">
        <f>IF($M16 = $BM$9, $BM$9,
        IF($L16 = "", "",
              IF(OR(
                          AND(OR($G16 = マスタ!$D$54, $G16 = マスタ!$D$55), $L16 &lt;= $BP$9),
                          AND($G16 &lt;&gt; マスタ!$D$54, $G16 &lt;&gt; マスタ!$D$55, $L16 &lt;= $BQ$9)
                         ), $BM$9, $BN$9)))</f>
        <v/>
      </c>
      <c r="O16" s="71"/>
      <c r="P16" s="101" t="str">
        <f t="shared" si="1"/>
        <v/>
      </c>
      <c r="Q16" s="124"/>
      <c r="R16" s="124"/>
      <c r="S16" s="112" t="str">
        <f t="shared" si="2"/>
        <v/>
      </c>
      <c r="T16" s="71"/>
      <c r="U16" s="41" t="str">
        <f>IF($T16=$BM$9, $BM$9,
        IF($S16="", "",
             IF(OR(AND($BL16=マスタ!$C$3, $S16&lt;=$BS$9),
                        AND($BL16=マスタ!$C$4, $S16&lt;=$BT$9),
                        AND(OR($BL16=マスタ!$C$6, $BL16=マスタ!$C$7), $S16&lt;=$BU$9),
                        AND(OR($BL16=マスタ!$C$5, $BL16=マスタ!$C$8), $S16&lt;=$BV$9)),
                  $BM$9, $BN$9)))</f>
        <v/>
      </c>
      <c r="V16" s="129" t="str">
        <f t="shared" si="3"/>
        <v/>
      </c>
      <c r="W16" s="124"/>
      <c r="X16" s="112" t="str">
        <f t="shared" si="4"/>
        <v/>
      </c>
      <c r="Y16" s="71"/>
      <c r="Z16" s="41" t="str">
        <f>IF($Y16=$BM$9, $BM$9,
        IF(AND($T16 = $BM$9, $Y16 = $BO$9), $BN$9,
             IF($BL16=マスタ!$C$3,
                  IF($X16&lt;=$BW$9, $BM$9,$BN$9),
                       IF(OR($BL16=マスタ!$C$4, $BL16=マスタ!$C$5, $BL16=マスタ!$C$6, $BL16=マスタ!$C$7, $BL16=マスタ!$C$8),
                            IF($X16&lt;=$BX$9, $BM$9,$BN$9), ""))))</f>
        <v/>
      </c>
      <c r="AA16" s="71"/>
      <c r="AB16" s="71"/>
      <c r="AC16" s="71"/>
      <c r="AD16" s="165"/>
      <c r="AE16" s="71"/>
      <c r="AF16" s="165"/>
      <c r="AG16" s="92"/>
      <c r="AH16" s="92"/>
      <c r="AI16" s="92"/>
      <c r="AJ16" s="92"/>
      <c r="AK16" s="121"/>
      <c r="AL16" s="121"/>
      <c r="AM16" s="121"/>
      <c r="AN16" s="121"/>
      <c r="AO16" s="92"/>
      <c r="AP16" s="130" t="str">
        <f t="shared" si="5"/>
        <v/>
      </c>
      <c r="AQ16" s="121"/>
      <c r="AR16" s="101" t="str">
        <f>IF(OR(SUMPRODUCT(--(AJ16:AQ16&lt;&gt;""))&lt;7,AND($AJ16=マスタ!$N$3,$AK16="")), "",
        IF($AJ16=マスタ!$N$5, $BO$9,
              IF(OR($F16=マスタ!$C$3, $F16=マスタ!$C$4, $F16=マスタ!$C$5),
                    IF(SUM($AL16,$AM16,$AP16,$AQ16)&gt;=1, $BM$9, $BN$9),
              IF(OR($F16=マスタ!$C$6, $F16=マスタ!$C$7, $F16=マスタ!$C$8),
                    IF($AK16&lt;10, $BO$9,
                          IF(AND(SUM($AL16,$AM16,$AP16,$AQ16)&gt;=($AK16*0.2), $AM16+$AP16+$AQ16&gt;=1),
                               $BM$9,$BN$9))))))</f>
        <v/>
      </c>
      <c r="AS16" s="101" t="str">
        <f>IF(OR(SUMPRODUCT(--(AJ16:AQ16&lt;&gt;""))&lt;7,AND($AJ16=マスタ!$N$3,$AK16="")), "",
     IF($AR16=$BN$9,$BN$9,
        IF($AJ16=マスタ!$N$5, $BO$9,
             IF(OR($F16=マスタ!$C$3, $F16=マスタ!$C$4, $F16=マスタ!$C$5),
                   IF($AQ16&gt;=1, $BM$9, $BN$9),
             IF(OR($F16=マスタ!$C$6, $F16=マスタ!$C$7, $F16=マスタ!$C$8),
                   IF($AK16&lt;5, IF($AQ16&gt;=1, $BM$9, $BN$9),
                         IF(OR($AQ16&gt;=1,
                                    AND(SUM($AL16,$AM16,$AP16,$AQ16)&gt;=$AK16*0.5, ($AM16+$AP16+$AQ16)&gt;=($AK16*0.2))),
                              $BM$9,$BN$9)))))))</f>
        <v/>
      </c>
      <c r="AT16" s="66"/>
      <c r="AU16" s="143"/>
      <c r="AV16" s="98" t="str" cm="1">
        <f t="array" aca="1" ref="AV16" ca="1">IF(AND($F16:$G16&lt;&gt;"", $I16:$K16&lt;&gt;"",
                 IF(OR($M16=$BM$9,$O16=$BM$9), TRUE, $L16&lt;&gt;""),
                 $M16&lt;&gt;"",$O16&lt;&gt;"",
                 IF($T16=$BM$9, TRUE, $Q16:$R16&lt;&gt;""),
                 IF(AND($BL16&lt;&gt;"", $BL16&lt;&gt;マスタ!$C$5, $BL16&lt;&gt;マスタ!$C$8), TRUE, $T16&lt;&gt;""),
                 IF(OR(AND($T16=$BM$9,  $Y16=$BO$9), $Y16=$BM$9), TRUE,$W16&lt;&gt;""),
                 IF(AND($BL16&lt;&gt;"", $BL16&lt;&gt;マスタ!$C$5, $BL16&lt;&gt;マスタ!$C$8), TRUE, $Y16&lt;&gt;""),
                 $AA16&lt;&gt;"",
                 IF($AA16=マスタ!$F$4, TRUE, $AB16&lt;&gt;""),
                 $AG16:$AO16&lt;&gt;"", $AQ16&lt;&gt;"", $AT16&lt;&gt;""),
        "（正常）入力済み", IF($C16= "", "（複数入力）未入力", "（エラー）一部未入力"))</f>
        <v>（複数入力）未入力</v>
      </c>
      <c r="AW16" s="98" t="str">
        <f t="shared" ca="1" si="6"/>
        <v/>
      </c>
      <c r="AX16" s="98" t="str">
        <f t="shared" ca="1" si="7"/>
        <v/>
      </c>
      <c r="AY16" s="98" t="str">
        <f t="shared" ca="1" si="8"/>
        <v/>
      </c>
      <c r="AZ16" s="98" t="str">
        <f t="shared" ca="1" si="9"/>
        <v/>
      </c>
      <c r="BA16" s="98" t="str">
        <f t="shared" ca="1" si="10"/>
        <v/>
      </c>
      <c r="BB16" s="98" t="str">
        <f t="shared" ca="1" si="11"/>
        <v/>
      </c>
      <c r="BC16" s="98" t="str">
        <f t="shared" ca="1" si="12"/>
        <v/>
      </c>
      <c r="BD16" s="98" t="str">
        <f t="shared" ca="1" si="13"/>
        <v/>
      </c>
      <c r="BE16" s="98" t="str">
        <f>IF($BL16="","",
   IF($T16=入力不可用2,
      IF(OR($BL16=マスタ!$C$5,$BL16=マスタ!$C$8), "未入力", "（正常）規定値"),
      IF(OR($BL16=マスタ!$C$5,$BL16=マスタ!$C$8), "（正常）規定値", "（エラー）値入力不可")))</f>
        <v/>
      </c>
      <c r="BF16" s="98" t="str">
        <f ca="1">IF($C16 = "", "",
       IF(AND(OR($BL16=マスタ!$C$5, $BL16=マスタ!$C$8), $T16 = ""), "未入力",
            IF(AND($Y16 = $BM$9, $T16 = $BO$9), "（エラー）「適合」のみ入力可", "（正常）規定値")))</f>
        <v/>
      </c>
      <c r="BG16" s="98" t="str">
        <f t="shared" ca="1" si="14"/>
        <v/>
      </c>
      <c r="BH16" s="98" t="str">
        <f t="shared" ca="1" si="15"/>
        <v/>
      </c>
      <c r="BI16" s="98" t="str">
        <f>IF($BL16="","",
   IF($Y16=入力不可用2,
      IF(OR($BL16=マスタ!$C$5,$BL16=マスタ!$C$8), "未入力", "（正常）規定値"),
      IF(OR($BL16=マスタ!$C$5,$BL16=マスタ!$C$8), "（正常）規定値", "（エラー）値入力不可")))</f>
        <v/>
      </c>
      <c r="BJ16" s="98" t="str">
        <f>IF($AA16="", "",
        IF($AA16=マスタ!$F$3,
             IF($AB16="", "未入力", "（正常）規定値"),
                  IF($AA16=マスタ!$F$4,
                       IF($AB16&lt;&gt;入力不可用2, "（エラー）値入力不可", "（正常）規定値"))))</f>
        <v/>
      </c>
      <c r="BL16" s="75" t="str">
        <f>IF(OR($F16 = マスタ!$C$5, F16 = マスタ!$C$8), $F16,
        IF(AND($F16 = マスタ!$C$3, 'その１事業者基本情報_入力シート（一部非公開）'!$U$16), $F16,
             IF(AND($F16 = マスタ!$C$4, 'その１事業者基本情報_入力シート（一部非公開）'!$S$16), $F16,
                  IF(AND(OR($F16 = マスタ!$C$6, $F16 = マスタ!$C$7),
                                'その１事業者基本情報_入力シート（一部非公開）'!$W$16), $F16,
                       IF(OR($F16 = マスタ!$C$3, $F16=マスタ!$C$4), マスタ!$C$5,
                            IF(OR($F16 = マスタ!$C$6, $F16 = マスタ!$C$7), マスタ!$C$8, ""))))))</f>
        <v/>
      </c>
      <c r="BM16" s="75" t="str">
        <f>IF($L16&lt;&gt;"", $L16,
       IF($M16 = マスタ!$B$3,
          IF(OR($F16=マスタ!$C$3,$F16=マスタ!$C$4,$F16=マスタ!$C$5),
            IF(OR($G16 = マスタ!$D$54, $G16 = マスタ!$D$55), 0.75, 0.87),
            IF(OR($G16 = マスタ!$D$54, $G16 = マスタ!$D$55), 0.62, 0.72)),
                 IF(ISBLANK($L16), "", $L16)))</f>
        <v/>
      </c>
      <c r="BN16" s="99" t="str">
        <f>IF($L16&lt;&gt;"", $L16,
        IF($O16 = マスタ!$B$3,
          IF(OR($F16=マスタ!$C$3,$F16=マスタ!$C$4,$F16=マスタ!$C$5), 0.6, 0.5),
             IF(ISBLANK($L16), "", $L16)))</f>
        <v/>
      </c>
      <c r="BO16" s="99" t="str">
        <f>IF($T16&lt;&gt;マスタ!$B$3,
        IF(ISBLANK($S16),"",$S16),
             IF($BL16=マスタ!$C$3,0.8,
             IF($BL16=マスタ!$C$4,0.85,
             IF($BL16=マスタ!$C$6,0.9,
             IF($BL16=マスタ!$C$7,0.9,
             IF($BL16=マスタ!$C$5,1,
             IF($BL16=マスタ!$C$8,1,"無効な入力")))))))</f>
        <v/>
      </c>
      <c r="BP16" s="99" t="str">
        <f>IF($Y16&lt;&gt;マスタ!$B$3,
   IF(ISBLANK($X16), "", $X16),
   IF($BL16=マスタ!$C$3, 0.75,
      IF($BL16=マスタ!$C$4, 0.8,
         IF($BL16=マスタ!$C$6, 0.8,
            IF($BL16=マスタ!$C$7, 0.8,
               IF($BL16=マスタ!$C$5, 0.8,
                  IF($BL16=マスタ!$C$8, 0.8, "無効な入力")))))))</f>
        <v/>
      </c>
      <c r="BQ16" s="75"/>
      <c r="BR16" s="75"/>
      <c r="BS16" s="75"/>
      <c r="BT16" s="75"/>
      <c r="BU16" s="75"/>
      <c r="BV16" s="75"/>
      <c r="BW16" s="75"/>
      <c r="BX16" s="75"/>
      <c r="BY16" s="75"/>
    </row>
    <row r="17" spans="3:77" ht="30.75" customHeight="1">
      <c r="C17" s="69" t="str" cm="1">
        <f t="array" aca="1" ref="C17" ca="1">IF(SUMPRODUCT(--($D17:$AU17 &lt;&gt; "")),RIGHT(YEAR(TODAY()),2)&amp;"01"&amp;REPT("0",4-LEN(ROW()-11))&amp;ROW()-11,"")</f>
        <v/>
      </c>
      <c r="D17" s="141"/>
      <c r="E17" s="142"/>
      <c r="F17" s="71"/>
      <c r="G17" s="66"/>
      <c r="H17" s="41" t="str">
        <f>IFERROR(VLOOKUP(G17,マスタ!$D$3:$E$55,2,FALSE),"")</f>
        <v/>
      </c>
      <c r="I17" s="93"/>
      <c r="J17" s="77"/>
      <c r="K17" s="66"/>
      <c r="L17" s="103"/>
      <c r="M17" s="71"/>
      <c r="N17" s="101" t="str">
        <f>IF($M17 = $BM$9, $BM$9,
        IF($L17 = "", "",
              IF(OR(
                          AND(OR($G17 = マスタ!$D$54, $G17 = マスタ!$D$55), $L17 &lt;= $BP$9),
                          AND($G17 &lt;&gt; マスタ!$D$54, $G17 &lt;&gt; マスタ!$D$55, $L17 &lt;= $BQ$9)
                         ), $BM$9, $BN$9)))</f>
        <v/>
      </c>
      <c r="O17" s="71"/>
      <c r="P17" s="101" t="str">
        <f t="shared" si="1"/>
        <v/>
      </c>
      <c r="Q17" s="124"/>
      <c r="R17" s="124"/>
      <c r="S17" s="112" t="str">
        <f t="shared" si="2"/>
        <v/>
      </c>
      <c r="T17" s="71"/>
      <c r="U17" s="41" t="str">
        <f>IF($T17=$BM$9, $BM$9,
        IF($S17="", "",
             IF(OR(AND($BL17=マスタ!$C$3, $S17&lt;=$BS$9),
                        AND($BL17=マスタ!$C$4, $S17&lt;=$BT$9),
                        AND(OR($BL17=マスタ!$C$6, $BL17=マスタ!$C$7), $S17&lt;=$BU$9),
                        AND(OR($BL17=マスタ!$C$5, $BL17=マスタ!$C$8), $S17&lt;=$BV$9)),
                  $BM$9, $BN$9)))</f>
        <v/>
      </c>
      <c r="V17" s="129" t="str">
        <f t="shared" si="3"/>
        <v/>
      </c>
      <c r="W17" s="124"/>
      <c r="X17" s="112" t="str">
        <f t="shared" si="4"/>
        <v/>
      </c>
      <c r="Y17" s="71"/>
      <c r="Z17" s="41" t="str">
        <f>IF($Y17=$BM$9, $BM$9,
        IF(AND($T17 = $BM$9, $Y17 = $BO$9), $BN$9,
             IF($BL17=マスタ!$C$3,
                  IF($X17&lt;=$BW$9, $BM$9,$BN$9),
                       IF(OR($BL17=マスタ!$C$4, $BL17=マスタ!$C$5, $BL17=マスタ!$C$6, $BL17=マスタ!$C$7, $BL17=マスタ!$C$8),
                            IF($X17&lt;=$BX$9, $BM$9,$BN$9), ""))))</f>
        <v/>
      </c>
      <c r="AA17" s="71"/>
      <c r="AB17" s="71"/>
      <c r="AC17" s="71"/>
      <c r="AD17" s="165"/>
      <c r="AE17" s="71"/>
      <c r="AF17" s="165"/>
      <c r="AG17" s="92"/>
      <c r="AH17" s="92"/>
      <c r="AI17" s="92"/>
      <c r="AJ17" s="92"/>
      <c r="AK17" s="121"/>
      <c r="AL17" s="121"/>
      <c r="AM17" s="121"/>
      <c r="AN17" s="121"/>
      <c r="AO17" s="92"/>
      <c r="AP17" s="130" t="str">
        <f t="shared" si="5"/>
        <v/>
      </c>
      <c r="AQ17" s="121"/>
      <c r="AR17" s="101" t="str">
        <f>IF(OR(SUMPRODUCT(--(AJ17:AQ17&lt;&gt;""))&lt;7,AND($AJ17=マスタ!$N$3,$AK17="")), "",
        IF($AJ17=マスタ!$N$5, $BO$9,
              IF(OR($F17=マスタ!$C$3, $F17=マスタ!$C$4, $F17=マスタ!$C$5),
                    IF(SUM($AL17,$AM17,$AP17,$AQ17)&gt;=1, $BM$9, $BN$9),
              IF(OR($F17=マスタ!$C$6, $F17=マスタ!$C$7, $F17=マスタ!$C$8),
                    IF($AK17&lt;10, $BO$9,
                          IF(AND(SUM($AL17,$AM17,$AP17,$AQ17)&gt;=($AK17*0.2), $AM17+$AP17+$AQ17&gt;=1),
                               $BM$9,$BN$9))))))</f>
        <v/>
      </c>
      <c r="AS17" s="101" t="str">
        <f>IF(OR(SUMPRODUCT(--(AJ17:AQ17&lt;&gt;""))&lt;7,AND($AJ17=マスタ!$N$3,$AK17="")), "",
     IF($AR17=$BN$9,$BN$9,
        IF($AJ17=マスタ!$N$5, $BO$9,
             IF(OR($F17=マスタ!$C$3, $F17=マスタ!$C$4, $F17=マスタ!$C$5),
                   IF($AQ17&gt;=1, $BM$9, $BN$9),
             IF(OR($F17=マスタ!$C$6, $F17=マスタ!$C$7, $F17=マスタ!$C$8),
                   IF($AK17&lt;5, IF($AQ17&gt;=1, $BM$9, $BN$9),
                         IF(OR($AQ17&gt;=1,
                                    AND(SUM($AL17,$AM17,$AP17,$AQ17)&gt;=$AK17*0.5, ($AM17+$AP17+$AQ17)&gt;=($AK17*0.2))),
                              $BM$9,$BN$9)))))))</f>
        <v/>
      </c>
      <c r="AT17" s="66"/>
      <c r="AU17" s="143"/>
      <c r="AV17" s="98" t="str" cm="1">
        <f t="array" aca="1" ref="AV17" ca="1">IF(AND($F17:$G17&lt;&gt;"", $I17:$K17&lt;&gt;"",
                 IF(OR($M17=$BM$9,$O17=$BM$9), TRUE, $L17&lt;&gt;""),
                 $M17&lt;&gt;"",$O17&lt;&gt;"",
                 IF($T17=$BM$9, TRUE, $Q17:$R17&lt;&gt;""),
                 IF(AND($BL17&lt;&gt;"", $BL17&lt;&gt;マスタ!$C$5, $BL17&lt;&gt;マスタ!$C$8), TRUE, $T17&lt;&gt;""),
                 IF(OR(AND($T17=$BM$9,  $Y17=$BO$9), $Y17=$BM$9), TRUE,$W17&lt;&gt;""),
                 IF(AND($BL17&lt;&gt;"", $BL17&lt;&gt;マスタ!$C$5, $BL17&lt;&gt;マスタ!$C$8), TRUE, $Y17&lt;&gt;""),
                 $AA17&lt;&gt;"",
                 IF($AA17=マスタ!$F$4, TRUE, $AB17&lt;&gt;""),
                 $AG17:$AO17&lt;&gt;"", $AQ17&lt;&gt;"", $AT17&lt;&gt;""),
        "（正常）入力済み", IF($C17= "", "（複数入力）未入力", "（エラー）一部未入力"))</f>
        <v>（複数入力）未入力</v>
      </c>
      <c r="AW17" s="98" t="str">
        <f t="shared" ca="1" si="6"/>
        <v/>
      </c>
      <c r="AX17" s="98" t="str">
        <f t="shared" ca="1" si="7"/>
        <v/>
      </c>
      <c r="AY17" s="98" t="str">
        <f t="shared" ca="1" si="8"/>
        <v/>
      </c>
      <c r="AZ17" s="98" t="str">
        <f t="shared" ca="1" si="9"/>
        <v/>
      </c>
      <c r="BA17" s="98" t="str">
        <f t="shared" ca="1" si="10"/>
        <v/>
      </c>
      <c r="BB17" s="98" t="str">
        <f t="shared" ca="1" si="11"/>
        <v/>
      </c>
      <c r="BC17" s="98" t="str">
        <f t="shared" ca="1" si="12"/>
        <v/>
      </c>
      <c r="BD17" s="98" t="str">
        <f t="shared" ca="1" si="13"/>
        <v/>
      </c>
      <c r="BE17" s="98" t="str">
        <f>IF($BL17="","",
   IF($T17=入力不可用2,
      IF(OR($BL17=マスタ!$C$5,$BL17=マスタ!$C$8), "未入力", "（正常）規定値"),
      IF(OR($BL17=マスタ!$C$5,$BL17=マスタ!$C$8), "（正常）規定値", "（エラー）値入力不可")))</f>
        <v/>
      </c>
      <c r="BF17" s="98" t="str">
        <f ca="1">IF($C17 = "", "",
       IF(AND(OR($BL17=マスタ!$C$5, $BL17=マスタ!$C$8), $T17 = ""), "未入力",
            IF(AND($Y17 = $BM$9, $T17 = $BO$9), "（エラー）「適合」のみ入力可", "（正常）規定値")))</f>
        <v/>
      </c>
      <c r="BG17" s="98" t="str">
        <f t="shared" ca="1" si="14"/>
        <v/>
      </c>
      <c r="BH17" s="98" t="str">
        <f t="shared" ca="1" si="15"/>
        <v/>
      </c>
      <c r="BI17" s="98" t="str">
        <f>IF($BL17="","",
   IF($Y17=入力不可用2,
      IF(OR($BL17=マスタ!$C$5,$BL17=マスタ!$C$8), "未入力", "（正常）規定値"),
      IF(OR($BL17=マスタ!$C$5,$BL17=マスタ!$C$8), "（正常）規定値", "（エラー）値入力不可")))</f>
        <v/>
      </c>
      <c r="BJ17" s="98" t="str">
        <f>IF($AA17="", "",
        IF($AA17=マスタ!$F$3,
             IF($AB17="", "未入力", "（正常）規定値"),
                  IF($AA17=マスタ!$F$4,
                       IF($AB17&lt;&gt;入力不可用2, "（エラー）値入力不可", "（正常）規定値"))))</f>
        <v/>
      </c>
      <c r="BL17" s="75" t="str">
        <f>IF(OR($F17 = マスタ!$C$5, F17 = マスタ!$C$8), $F17,
        IF(AND($F17 = マスタ!$C$3, 'その１事業者基本情報_入力シート（一部非公開）'!$U$16), $F17,
             IF(AND($F17 = マスタ!$C$4, 'その１事業者基本情報_入力シート（一部非公開）'!$S$16), $F17,
                  IF(AND(OR($F17 = マスタ!$C$6, $F17 = マスタ!$C$7),
                                'その１事業者基本情報_入力シート（一部非公開）'!$W$16), $F17,
                       IF(OR($F17 = マスタ!$C$3, $F17=マスタ!$C$4), マスタ!$C$5,
                            IF(OR($F17 = マスタ!$C$6, $F17 = マスタ!$C$7), マスタ!$C$8, ""))))))</f>
        <v/>
      </c>
      <c r="BM17" s="75" t="str">
        <f>IF($L17&lt;&gt;"", $L17,
       IF($M17 = マスタ!$B$3,
          IF(OR($F17=マスタ!$C$3,$F17=マスタ!$C$4,$F17=マスタ!$C$5),
            IF(OR($G17 = マスタ!$D$54, $G17 = マスタ!$D$55), 0.75, 0.87),
            IF(OR($G17 = マスタ!$D$54, $G17 = マスタ!$D$55), 0.62, 0.72)),
                 IF(ISBLANK($L17), "", $L17)))</f>
        <v/>
      </c>
      <c r="BN17" s="99" t="str">
        <f>IF($L17&lt;&gt;"", $L17,
        IF($O17 = マスタ!$B$3,
          IF(OR($F17=マスタ!$C$3,$F17=マスタ!$C$4,$F17=マスタ!$C$5), 0.6, 0.5),
             IF(ISBLANK($L17), "", $L17)))</f>
        <v/>
      </c>
      <c r="BO17" s="99" t="str">
        <f>IF($T17&lt;&gt;マスタ!$B$3,
        IF(ISBLANK($S17),"",$S17),
             IF($BL17=マスタ!$C$3,0.8,
             IF($BL17=マスタ!$C$4,0.85,
             IF($BL17=マスタ!$C$6,0.9,
             IF($BL17=マスタ!$C$7,0.9,
             IF($BL17=マスタ!$C$5,1,
             IF($BL17=マスタ!$C$8,1,"無効な入力")))))))</f>
        <v/>
      </c>
      <c r="BP17" s="99" t="str">
        <f>IF($Y17&lt;&gt;マスタ!$B$3,
   IF(ISBLANK($X17), "", $X17),
   IF($BL17=マスタ!$C$3, 0.75,
      IF($BL17=マスタ!$C$4, 0.8,
         IF($BL17=マスタ!$C$6, 0.8,
            IF($BL17=マスタ!$C$7, 0.8,
               IF($BL17=マスタ!$C$5, 0.8,
                  IF($BL17=マスタ!$C$8, 0.8, "無効な入力")))))))</f>
        <v/>
      </c>
      <c r="BQ17" s="75"/>
      <c r="BR17" s="75"/>
      <c r="BS17" s="75"/>
      <c r="BT17" s="75"/>
      <c r="BU17" s="75"/>
      <c r="BV17" s="75"/>
      <c r="BW17" s="75"/>
      <c r="BX17" s="75"/>
      <c r="BY17" s="75"/>
    </row>
    <row r="18" spans="3:77" ht="30.75" customHeight="1">
      <c r="C18" s="69" t="str" cm="1">
        <f t="array" aca="1" ref="C18" ca="1">IF(SUMPRODUCT(--($D18:$AU18 &lt;&gt; "")),RIGHT(YEAR(TODAY()),2)&amp;"01"&amp;REPT("0",4-LEN(ROW()-11))&amp;ROW()-11,"")</f>
        <v/>
      </c>
      <c r="D18" s="141"/>
      <c r="E18" s="142"/>
      <c r="F18" s="71"/>
      <c r="G18" s="66"/>
      <c r="H18" s="41" t="str">
        <f>IFERROR(VLOOKUP(G18,マスタ!$D$3:$E$55,2,FALSE),"")</f>
        <v/>
      </c>
      <c r="I18" s="93"/>
      <c r="J18" s="77"/>
      <c r="K18" s="66"/>
      <c r="L18" s="103"/>
      <c r="M18" s="71"/>
      <c r="N18" s="101" t="str">
        <f>IF($M18 = $BM$9, $BM$9,
        IF($L18 = "", "",
              IF(OR(
                          AND(OR($G18 = マスタ!$D$54, $G18 = マスタ!$D$55), $L18 &lt;= $BP$9),
                          AND($G18 &lt;&gt; マスタ!$D$54, $G18 &lt;&gt; マスタ!$D$55, $L18 &lt;= $BQ$9)
                         ), $BM$9, $BN$9)))</f>
        <v/>
      </c>
      <c r="O18" s="71"/>
      <c r="P18" s="101" t="str">
        <f t="shared" si="1"/>
        <v/>
      </c>
      <c r="Q18" s="124"/>
      <c r="R18" s="124"/>
      <c r="S18" s="112" t="str">
        <f t="shared" si="2"/>
        <v/>
      </c>
      <c r="T18" s="71"/>
      <c r="U18" s="41" t="str">
        <f>IF($T18=$BM$9, $BM$9,
        IF($S18="", "",
             IF(OR(AND($BL18=マスタ!$C$3, $S18&lt;=$BS$9),
                        AND($BL18=マスタ!$C$4, $S18&lt;=$BT$9),
                        AND(OR($BL18=マスタ!$C$6, $BL18=マスタ!$C$7), $S18&lt;=$BU$9),
                        AND(OR($BL18=マスタ!$C$5, $BL18=マスタ!$C$8), $S18&lt;=$BV$9)),
                  $BM$9, $BN$9)))</f>
        <v/>
      </c>
      <c r="V18" s="129" t="str">
        <f t="shared" si="3"/>
        <v/>
      </c>
      <c r="W18" s="124"/>
      <c r="X18" s="112" t="str">
        <f t="shared" si="4"/>
        <v/>
      </c>
      <c r="Y18" s="71"/>
      <c r="Z18" s="41" t="str">
        <f>IF($Y18=$BM$9, $BM$9,
        IF(AND($T18 = $BM$9, $Y18 = $BO$9), $BN$9,
             IF($BL18=マスタ!$C$3,
                  IF($X18&lt;=$BW$9, $BM$9,$BN$9),
                       IF(OR($BL18=マスタ!$C$4, $BL18=マスタ!$C$5, $BL18=マスタ!$C$6, $BL18=マスタ!$C$7, $BL18=マスタ!$C$8),
                            IF($X18&lt;=$BX$9, $BM$9,$BN$9), ""))))</f>
        <v/>
      </c>
      <c r="AA18" s="71"/>
      <c r="AB18" s="71"/>
      <c r="AC18" s="71"/>
      <c r="AD18" s="165"/>
      <c r="AE18" s="71"/>
      <c r="AF18" s="165"/>
      <c r="AG18" s="92"/>
      <c r="AH18" s="92"/>
      <c r="AI18" s="92"/>
      <c r="AJ18" s="92"/>
      <c r="AK18" s="121"/>
      <c r="AL18" s="121"/>
      <c r="AM18" s="121"/>
      <c r="AN18" s="121"/>
      <c r="AO18" s="92"/>
      <c r="AP18" s="130" t="str">
        <f t="shared" si="5"/>
        <v/>
      </c>
      <c r="AQ18" s="121"/>
      <c r="AR18" s="101" t="str">
        <f>IF(OR(SUMPRODUCT(--(AJ18:AQ18&lt;&gt;""))&lt;7,AND($AJ18=マスタ!$N$3,$AK18="")), "",
        IF($AJ18=マスタ!$N$5, $BO$9,
              IF(OR($F18=マスタ!$C$3, $F18=マスタ!$C$4, $F18=マスタ!$C$5),
                    IF(SUM($AL18,$AM18,$AP18,$AQ18)&gt;=1, $BM$9, $BN$9),
              IF(OR($F18=マスタ!$C$6, $F18=マスタ!$C$7, $F18=マスタ!$C$8),
                    IF($AK18&lt;10, $BO$9,
                          IF(AND(SUM($AL18,$AM18,$AP18,$AQ18)&gt;=($AK18*0.2), $AM18+$AP18+$AQ18&gt;=1),
                               $BM$9,$BN$9))))))</f>
        <v/>
      </c>
      <c r="AS18" s="101" t="str">
        <f>IF(OR(SUMPRODUCT(--(AJ18:AQ18&lt;&gt;""))&lt;7,AND($AJ18=マスタ!$N$3,$AK18="")), "",
     IF($AR18=$BN$9,$BN$9,
        IF($AJ18=マスタ!$N$5, $BO$9,
             IF(OR($F18=マスタ!$C$3, $F18=マスタ!$C$4, $F18=マスタ!$C$5),
                   IF($AQ18&gt;=1, $BM$9, $BN$9),
             IF(OR($F18=マスタ!$C$6, $F18=マスタ!$C$7, $F18=マスタ!$C$8),
                   IF($AK18&lt;5, IF($AQ18&gt;=1, $BM$9, $BN$9),
                         IF(OR($AQ18&gt;=1,
                                    AND(SUM($AL18,$AM18,$AP18,$AQ18)&gt;=$AK18*0.5, ($AM18+$AP18+$AQ18)&gt;=($AK18*0.2))),
                              $BM$9,$BN$9)))))))</f>
        <v/>
      </c>
      <c r="AT18" s="66"/>
      <c r="AU18" s="143"/>
      <c r="AV18" s="98" t="str" cm="1">
        <f t="array" aca="1" ref="AV18" ca="1">IF(AND($F18:$G18&lt;&gt;"", $I18:$K18&lt;&gt;"",
                 IF(OR($M18=$BM$9,$O18=$BM$9), TRUE, $L18&lt;&gt;""),
                 $M18&lt;&gt;"",$O18&lt;&gt;"",
                 IF($T18=$BM$9, TRUE, $Q18:$R18&lt;&gt;""),
                 IF(AND($BL18&lt;&gt;"", $BL18&lt;&gt;マスタ!$C$5, $BL18&lt;&gt;マスタ!$C$8), TRUE, $T18&lt;&gt;""),
                 IF(OR(AND($T18=$BM$9,  $Y18=$BO$9), $Y18=$BM$9), TRUE,$W18&lt;&gt;""),
                 IF(AND($BL18&lt;&gt;"", $BL18&lt;&gt;マスタ!$C$5, $BL18&lt;&gt;マスタ!$C$8), TRUE, $Y18&lt;&gt;""),
                 $AA18&lt;&gt;"",
                 IF($AA18=マスタ!$F$4, TRUE, $AB18&lt;&gt;""),
                 $AG18:$AO18&lt;&gt;"", $AQ18&lt;&gt;"", $AT18&lt;&gt;""),
        "（正常）入力済み", IF($C18= "", "（複数入力）未入力", "（エラー）一部未入力"))</f>
        <v>（複数入力）未入力</v>
      </c>
      <c r="AW18" s="98" t="str">
        <f t="shared" ca="1" si="6"/>
        <v/>
      </c>
      <c r="AX18" s="98" t="str">
        <f t="shared" ca="1" si="7"/>
        <v/>
      </c>
      <c r="AY18" s="98" t="str">
        <f t="shared" ca="1" si="8"/>
        <v/>
      </c>
      <c r="AZ18" s="98" t="str">
        <f t="shared" ca="1" si="9"/>
        <v/>
      </c>
      <c r="BA18" s="98" t="str">
        <f t="shared" ca="1" si="10"/>
        <v/>
      </c>
      <c r="BB18" s="98" t="str">
        <f t="shared" ca="1" si="11"/>
        <v/>
      </c>
      <c r="BC18" s="98" t="str">
        <f t="shared" ca="1" si="12"/>
        <v/>
      </c>
      <c r="BD18" s="98" t="str">
        <f t="shared" ca="1" si="13"/>
        <v/>
      </c>
      <c r="BE18" s="98" t="str">
        <f>IF($BL18="","",
   IF($T18=入力不可用2,
      IF(OR($BL18=マスタ!$C$5,$BL18=マスタ!$C$8), "未入力", "（正常）規定値"),
      IF(OR($BL18=マスタ!$C$5,$BL18=マスタ!$C$8), "（正常）規定値", "（エラー）値入力不可")))</f>
        <v/>
      </c>
      <c r="BF18" s="98" t="str">
        <f ca="1">IF($C18 = "", "",
       IF(AND(OR($BL18=マスタ!$C$5, $BL18=マスタ!$C$8), $T18 = ""), "未入力",
            IF(AND($Y18 = $BM$9, $T18 = $BO$9), "（エラー）「適合」のみ入力可", "（正常）規定値")))</f>
        <v/>
      </c>
      <c r="BG18" s="98" t="str">
        <f t="shared" ca="1" si="14"/>
        <v/>
      </c>
      <c r="BH18" s="98" t="str">
        <f t="shared" ca="1" si="15"/>
        <v/>
      </c>
      <c r="BI18" s="98" t="str">
        <f>IF($BL18="","",
   IF($Y18=入力不可用2,
      IF(OR($BL18=マスタ!$C$5,$BL18=マスタ!$C$8), "未入力", "（正常）規定値"),
      IF(OR($BL18=マスタ!$C$5,$BL18=マスタ!$C$8), "（正常）規定値", "（エラー）値入力不可")))</f>
        <v/>
      </c>
      <c r="BJ18" s="98" t="str">
        <f>IF($AA18="", "",
        IF($AA18=マスタ!$F$3,
             IF($AB18="", "未入力", "（正常）規定値"),
                  IF($AA18=マスタ!$F$4,
                       IF($AB18&lt;&gt;入力不可用2, "（エラー）値入力不可", "（正常）規定値"))))</f>
        <v/>
      </c>
      <c r="BL18" s="75" t="str">
        <f>IF(OR($F18 = マスタ!$C$5, F18 = マスタ!$C$8), $F18,
        IF(AND($F18 = マスタ!$C$3, 'その１事業者基本情報_入力シート（一部非公開）'!$U$16), $F18,
             IF(AND($F18 = マスタ!$C$4, 'その１事業者基本情報_入力シート（一部非公開）'!$S$16), $F18,
                  IF(AND(OR($F18 = マスタ!$C$6, $F18 = マスタ!$C$7),
                                'その１事業者基本情報_入力シート（一部非公開）'!$W$16), $F18,
                       IF(OR($F18 = マスタ!$C$3, $F18=マスタ!$C$4), マスタ!$C$5,
                            IF(OR($F18 = マスタ!$C$6, $F18 = マスタ!$C$7), マスタ!$C$8, ""))))))</f>
        <v/>
      </c>
      <c r="BM18" s="75" t="str">
        <f>IF($L18&lt;&gt;"", $L18,
       IF($M18 = マスタ!$B$3,
          IF(OR($F18=マスタ!$C$3,$F18=マスタ!$C$4,$F18=マスタ!$C$5),
            IF(OR($G18 = マスタ!$D$54, $G18 = マスタ!$D$55), 0.75, 0.87),
            IF(OR($G18 = マスタ!$D$54, $G18 = マスタ!$D$55), 0.62, 0.72)),
                 IF(ISBLANK($L18), "", $L18)))</f>
        <v/>
      </c>
      <c r="BN18" s="99" t="str">
        <f>IF($L18&lt;&gt;"", $L18,
        IF($O18 = マスタ!$B$3,
          IF(OR($F18=マスタ!$C$3,$F18=マスタ!$C$4,$F18=マスタ!$C$5), 0.6, 0.5),
             IF(ISBLANK($L18), "", $L18)))</f>
        <v/>
      </c>
      <c r="BO18" s="99" t="str">
        <f>IF($T18&lt;&gt;マスタ!$B$3,
        IF(ISBLANK($S18),"",$S18),
             IF($BL18=マスタ!$C$3,0.8,
             IF($BL18=マスタ!$C$4,0.85,
             IF($BL18=マスタ!$C$6,0.9,
             IF($BL18=マスタ!$C$7,0.9,
             IF($BL18=マスタ!$C$5,1,
             IF($BL18=マスタ!$C$8,1,"無効な入力")))))))</f>
        <v/>
      </c>
      <c r="BP18" s="99" t="str">
        <f>IF($Y18&lt;&gt;マスタ!$B$3,
   IF(ISBLANK($X18), "", $X18),
   IF($BL18=マスタ!$C$3, 0.75,
      IF($BL18=マスタ!$C$4, 0.8,
         IF($BL18=マスタ!$C$6, 0.8,
            IF($BL18=マスタ!$C$7, 0.8,
               IF($BL18=マスタ!$C$5, 0.8,
                  IF($BL18=マスタ!$C$8, 0.8, "無効な入力")))))))</f>
        <v/>
      </c>
      <c r="BQ18" s="75"/>
      <c r="BR18" s="75"/>
      <c r="BS18" s="75"/>
      <c r="BT18" s="75"/>
      <c r="BU18" s="75"/>
      <c r="BV18" s="75"/>
      <c r="BW18" s="75"/>
      <c r="BX18" s="75"/>
      <c r="BY18" s="75"/>
    </row>
    <row r="19" spans="3:77" ht="30.75" customHeight="1">
      <c r="C19" s="69" t="str" cm="1">
        <f t="array" aca="1" ref="C19" ca="1">IF(SUMPRODUCT(--($D19:$AU19 &lt;&gt; "")),RIGHT(YEAR(TODAY()),2)&amp;"01"&amp;REPT("0",4-LEN(ROW()-11))&amp;ROW()-11,"")</f>
        <v/>
      </c>
      <c r="D19" s="141"/>
      <c r="E19" s="142"/>
      <c r="F19" s="71"/>
      <c r="G19" s="66"/>
      <c r="H19" s="41" t="str">
        <f>IFERROR(VLOOKUP(G19,マスタ!$D$3:$E$55,2,FALSE),"")</f>
        <v/>
      </c>
      <c r="I19" s="93"/>
      <c r="J19" s="77"/>
      <c r="K19" s="66"/>
      <c r="L19" s="103"/>
      <c r="M19" s="71"/>
      <c r="N19" s="101" t="str">
        <f>IF($M19 = $BM$9, $BM$9,
        IF($L19 = "", "",
              IF(OR(
                          AND(OR($G19 = マスタ!$D$54, $G19 = マスタ!$D$55), $L19 &lt;= $BP$9),
                          AND($G19 &lt;&gt; マスタ!$D$54, $G19 &lt;&gt; マスタ!$D$55, $L19 &lt;= $BQ$9)
                         ), $BM$9, $BN$9)))</f>
        <v/>
      </c>
      <c r="O19" s="71"/>
      <c r="P19" s="101" t="str">
        <f t="shared" si="1"/>
        <v/>
      </c>
      <c r="Q19" s="124"/>
      <c r="R19" s="124"/>
      <c r="S19" s="112" t="str">
        <f t="shared" si="2"/>
        <v/>
      </c>
      <c r="T19" s="71"/>
      <c r="U19" s="41" t="str">
        <f>IF($T19=$BM$9, $BM$9,
        IF($S19="", "",
             IF(OR(AND($BL19=マスタ!$C$3, $S19&lt;=$BS$9),
                        AND($BL19=マスタ!$C$4, $S19&lt;=$BT$9),
                        AND(OR($BL19=マスタ!$C$6, $BL19=マスタ!$C$7), $S19&lt;=$BU$9),
                        AND(OR($BL19=マスタ!$C$5, $BL19=マスタ!$C$8), $S19&lt;=$BV$9)),
                  $BM$9, $BN$9)))</f>
        <v/>
      </c>
      <c r="V19" s="129" t="str">
        <f t="shared" si="3"/>
        <v/>
      </c>
      <c r="W19" s="124"/>
      <c r="X19" s="112" t="str">
        <f t="shared" si="4"/>
        <v/>
      </c>
      <c r="Y19" s="71"/>
      <c r="Z19" s="41" t="str">
        <f>IF($Y19=$BM$9, $BM$9,
        IF(AND($T19 = $BM$9, $Y19 = $BO$9), $BN$9,
             IF($BL19=マスタ!$C$3,
                  IF($X19&lt;=$BW$9, $BM$9,$BN$9),
                       IF(OR($BL19=マスタ!$C$4, $BL19=マスタ!$C$5, $BL19=マスタ!$C$6, $BL19=マスタ!$C$7, $BL19=マスタ!$C$8),
                            IF($X19&lt;=$BX$9, $BM$9,$BN$9), ""))))</f>
        <v/>
      </c>
      <c r="AA19" s="71"/>
      <c r="AB19" s="71"/>
      <c r="AC19" s="71"/>
      <c r="AD19" s="165"/>
      <c r="AE19" s="71"/>
      <c r="AF19" s="165"/>
      <c r="AG19" s="92"/>
      <c r="AH19" s="92"/>
      <c r="AI19" s="92"/>
      <c r="AJ19" s="92"/>
      <c r="AK19" s="121"/>
      <c r="AL19" s="121"/>
      <c r="AM19" s="121"/>
      <c r="AN19" s="121"/>
      <c r="AO19" s="92"/>
      <c r="AP19" s="130" t="str">
        <f t="shared" si="5"/>
        <v/>
      </c>
      <c r="AQ19" s="121"/>
      <c r="AR19" s="101" t="str">
        <f>IF(OR(SUMPRODUCT(--(AJ19:AQ19&lt;&gt;""))&lt;7,AND($AJ19=マスタ!$N$3,$AK19="")), "",
        IF($AJ19=マスタ!$N$5, $BO$9,
              IF(OR($F19=マスタ!$C$3, $F19=マスタ!$C$4, $F19=マスタ!$C$5),
                    IF(SUM($AL19,$AM19,$AP19,$AQ19)&gt;=1, $BM$9, $BN$9),
              IF(OR($F19=マスタ!$C$6, $F19=マスタ!$C$7, $F19=マスタ!$C$8),
                    IF($AK19&lt;10, $BO$9,
                          IF(AND(SUM($AL19,$AM19,$AP19,$AQ19)&gt;=($AK19*0.2), $AM19+$AP19+$AQ19&gt;=1),
                               $BM$9,$BN$9))))))</f>
        <v/>
      </c>
      <c r="AS19" s="101" t="str">
        <f>IF(OR(SUMPRODUCT(--(AJ19:AQ19&lt;&gt;""))&lt;7,AND($AJ19=マスタ!$N$3,$AK19="")), "",
     IF($AR19=$BN$9,$BN$9,
        IF($AJ19=マスタ!$N$5, $BO$9,
             IF(OR($F19=マスタ!$C$3, $F19=マスタ!$C$4, $F19=マスタ!$C$5),
                   IF($AQ19&gt;=1, $BM$9, $BN$9),
             IF(OR($F19=マスタ!$C$6, $F19=マスタ!$C$7, $F19=マスタ!$C$8),
                   IF($AK19&lt;5, IF($AQ19&gt;=1, $BM$9, $BN$9),
                         IF(OR($AQ19&gt;=1,
                                    AND(SUM($AL19,$AM19,$AP19,$AQ19)&gt;=$AK19*0.5, ($AM19+$AP19+$AQ19)&gt;=($AK19*0.2))),
                              $BM$9,$BN$9)))))))</f>
        <v/>
      </c>
      <c r="AT19" s="66"/>
      <c r="AU19" s="143"/>
      <c r="AV19" s="98" t="str" cm="1">
        <f t="array" aca="1" ref="AV19" ca="1">IF(AND($F19:$G19&lt;&gt;"", $I19:$K19&lt;&gt;"",
                 IF(OR($M19=$BM$9,$O19=$BM$9), TRUE, $L19&lt;&gt;""),
                 $M19&lt;&gt;"",$O19&lt;&gt;"",
                 IF($T19=$BM$9, TRUE, $Q19:$R19&lt;&gt;""),
                 IF(AND($BL19&lt;&gt;"", $BL19&lt;&gt;マスタ!$C$5, $BL19&lt;&gt;マスタ!$C$8), TRUE, $T19&lt;&gt;""),
                 IF(OR(AND($T19=$BM$9,  $Y19=$BO$9), $Y19=$BM$9), TRUE,$W19&lt;&gt;""),
                 IF(AND($BL19&lt;&gt;"", $BL19&lt;&gt;マスタ!$C$5, $BL19&lt;&gt;マスタ!$C$8), TRUE, $Y19&lt;&gt;""),
                 $AA19&lt;&gt;"",
                 IF($AA19=マスタ!$F$4, TRUE, $AB19&lt;&gt;""),
                 $AG19:$AO19&lt;&gt;"", $AQ19&lt;&gt;"", $AT19&lt;&gt;""),
        "（正常）入力済み", IF($C19= "", "（複数入力）未入力", "（エラー）一部未入力"))</f>
        <v>（複数入力）未入力</v>
      </c>
      <c r="AW19" s="98" t="str">
        <f t="shared" ca="1" si="6"/>
        <v/>
      </c>
      <c r="AX19" s="98" t="str">
        <f t="shared" ca="1" si="7"/>
        <v/>
      </c>
      <c r="AY19" s="98" t="str">
        <f t="shared" ca="1" si="8"/>
        <v/>
      </c>
      <c r="AZ19" s="98" t="str">
        <f t="shared" ca="1" si="9"/>
        <v/>
      </c>
      <c r="BA19" s="98" t="str">
        <f t="shared" ca="1" si="10"/>
        <v/>
      </c>
      <c r="BB19" s="98" t="str">
        <f t="shared" ca="1" si="11"/>
        <v/>
      </c>
      <c r="BC19" s="98" t="str">
        <f t="shared" ca="1" si="12"/>
        <v/>
      </c>
      <c r="BD19" s="98" t="str">
        <f t="shared" ca="1" si="13"/>
        <v/>
      </c>
      <c r="BE19" s="98" t="str">
        <f>IF($BL19="","",
   IF($T19=入力不可用2,
      IF(OR($BL19=マスタ!$C$5,$BL19=マスタ!$C$8), "未入力", "（正常）規定値"),
      IF(OR($BL19=マスタ!$C$5,$BL19=マスタ!$C$8), "（正常）規定値", "（エラー）値入力不可")))</f>
        <v/>
      </c>
      <c r="BF19" s="98" t="str">
        <f ca="1">IF($C19 = "", "",
       IF(AND(OR($BL19=マスタ!$C$5, $BL19=マスタ!$C$8), $T19 = ""), "未入力",
            IF(AND($Y19 = $BM$9, $T19 = $BO$9), "（エラー）「適合」のみ入力可", "（正常）規定値")))</f>
        <v/>
      </c>
      <c r="BG19" s="98" t="str">
        <f t="shared" ca="1" si="14"/>
        <v/>
      </c>
      <c r="BH19" s="98" t="str">
        <f t="shared" ca="1" si="15"/>
        <v/>
      </c>
      <c r="BI19" s="98" t="str">
        <f>IF($BL19="","",
   IF($Y19=入力不可用2,
      IF(OR($BL19=マスタ!$C$5,$BL19=マスタ!$C$8), "未入力", "（正常）規定値"),
      IF(OR($BL19=マスタ!$C$5,$BL19=マスタ!$C$8), "（正常）規定値", "（エラー）値入力不可")))</f>
        <v/>
      </c>
      <c r="BJ19" s="98" t="str">
        <f>IF($AA19="", "",
        IF($AA19=マスタ!$F$3,
             IF($AB19="", "未入力", "（正常）規定値"),
                  IF($AA19=マスタ!$F$4,
                       IF($AB19&lt;&gt;入力不可用2, "（エラー）値入力不可", "（正常）規定値"))))</f>
        <v/>
      </c>
      <c r="BL19" s="75" t="str">
        <f>IF(OR($F19 = マスタ!$C$5, F19 = マスタ!$C$8), $F19,
        IF(AND($F19 = マスタ!$C$3, 'その１事業者基本情報_入力シート（一部非公開）'!$U$16), $F19,
             IF(AND($F19 = マスタ!$C$4, 'その１事業者基本情報_入力シート（一部非公開）'!$S$16), $F19,
                  IF(AND(OR($F19 = マスタ!$C$6, $F19 = マスタ!$C$7),
                                'その１事業者基本情報_入力シート（一部非公開）'!$W$16), $F19,
                       IF(OR($F19 = マスタ!$C$3, $F19=マスタ!$C$4), マスタ!$C$5,
                            IF(OR($F19 = マスタ!$C$6, $F19 = マスタ!$C$7), マスタ!$C$8, ""))))))</f>
        <v/>
      </c>
      <c r="BM19" s="75" t="str">
        <f>IF($L19&lt;&gt;"", $L19,
       IF($M19 = マスタ!$B$3,
          IF(OR($F19=マスタ!$C$3,$F19=マスタ!$C$4,$F19=マスタ!$C$5),
            IF(OR($G19 = マスタ!$D$54, $G19 = マスタ!$D$55), 0.75, 0.87),
            IF(OR($G19 = マスタ!$D$54, $G19 = マスタ!$D$55), 0.62, 0.72)),
                 IF(ISBLANK($L19), "", $L19)))</f>
        <v/>
      </c>
      <c r="BN19" s="99" t="str">
        <f>IF($L19&lt;&gt;"", $L19,
        IF($O19 = マスタ!$B$3,
          IF(OR($F19=マスタ!$C$3,$F19=マスタ!$C$4,$F19=マスタ!$C$5), 0.6, 0.5),
             IF(ISBLANK($L19), "", $L19)))</f>
        <v/>
      </c>
      <c r="BO19" s="99" t="str">
        <f>IF($T19&lt;&gt;マスタ!$B$3,
        IF(ISBLANK($S19),"",$S19),
             IF($BL19=マスタ!$C$3,0.8,
             IF($BL19=マスタ!$C$4,0.85,
             IF($BL19=マスタ!$C$6,0.9,
             IF($BL19=マスタ!$C$7,0.9,
             IF($BL19=マスタ!$C$5,1,
             IF($BL19=マスタ!$C$8,1,"無効な入力")))))))</f>
        <v/>
      </c>
      <c r="BP19" s="99" t="str">
        <f>IF($Y19&lt;&gt;マスタ!$B$3,
   IF(ISBLANK($X19), "", $X19),
   IF($BL19=マスタ!$C$3, 0.75,
      IF($BL19=マスタ!$C$4, 0.8,
         IF($BL19=マスタ!$C$6, 0.8,
            IF($BL19=マスタ!$C$7, 0.8,
               IF($BL19=マスタ!$C$5, 0.8,
                  IF($BL19=マスタ!$C$8, 0.8, "無効な入力")))))))</f>
        <v/>
      </c>
      <c r="BQ19" s="75"/>
      <c r="BR19" s="75"/>
      <c r="BS19" s="75"/>
      <c r="BT19" s="75"/>
      <c r="BU19" s="75"/>
      <c r="BV19" s="75"/>
      <c r="BW19" s="75"/>
      <c r="BX19" s="75"/>
      <c r="BY19" s="75"/>
    </row>
    <row r="20" spans="3:77" ht="30.6" customHeight="1">
      <c r="C20" s="69" t="str" cm="1">
        <f t="array" aca="1" ref="C20" ca="1">IF(SUMPRODUCT(--($D20:$AU20 &lt;&gt; "")),RIGHT(YEAR(TODAY()),2)&amp;"01"&amp;REPT("0",4-LEN(ROW()-11))&amp;ROW()-11,"")</f>
        <v/>
      </c>
      <c r="D20" s="141"/>
      <c r="E20" s="142"/>
      <c r="F20" s="71"/>
      <c r="G20" s="66"/>
      <c r="H20" s="41" t="str">
        <f>IFERROR(VLOOKUP(G20,マスタ!$D$3:$E$55,2,FALSE),"")</f>
        <v/>
      </c>
      <c r="I20" s="93"/>
      <c r="J20" s="77"/>
      <c r="K20" s="66"/>
      <c r="L20" s="103"/>
      <c r="M20" s="71"/>
      <c r="N20" s="101" t="str">
        <f>IF($M20 = $BM$9, $BM$9,
        IF($L20 = "", "",
              IF(OR(
                          AND(OR($G20 = マスタ!$D$54, $G20 = マスタ!$D$55), $L20 &lt;= $BP$9),
                          AND($G20 &lt;&gt; マスタ!$D$54, $G20 &lt;&gt; マスタ!$D$55, $L20 &lt;= $BQ$9)
                         ), $BM$9, $BN$9)))</f>
        <v/>
      </c>
      <c r="O20" s="71"/>
      <c r="P20" s="101" t="str">
        <f t="shared" si="1"/>
        <v/>
      </c>
      <c r="Q20" s="124"/>
      <c r="R20" s="124"/>
      <c r="S20" s="112" t="str">
        <f t="shared" si="2"/>
        <v/>
      </c>
      <c r="T20" s="71"/>
      <c r="U20" s="41" t="str">
        <f>IF($T20=$BM$9, $BM$9,
        IF($S20="", "",
             IF(OR(AND($BL20=マスタ!$C$3, $S20&lt;=$BS$9),
                        AND($BL20=マスタ!$C$4, $S20&lt;=$BT$9),
                        AND(OR($BL20=マスタ!$C$6, $BL20=マスタ!$C$7), $S20&lt;=$BU$9),
                        AND(OR($BL20=マスタ!$C$5, $BL20=マスタ!$C$8), $S20&lt;=$BV$9)),
                  $BM$9, $BN$9)))</f>
        <v/>
      </c>
      <c r="V20" s="129" t="str">
        <f t="shared" si="3"/>
        <v/>
      </c>
      <c r="W20" s="124"/>
      <c r="X20" s="112" t="str">
        <f t="shared" si="4"/>
        <v/>
      </c>
      <c r="Y20" s="71"/>
      <c r="Z20" s="41" t="str">
        <f>IF($Y20=$BM$9, $BM$9,
        IF(AND($T20 = $BM$9, $Y20 = $BO$9), $BN$9,
             IF($BL20=マスタ!$C$3,
                  IF($X20&lt;=$BW$9, $BM$9,$BN$9),
                       IF(OR($BL20=マスタ!$C$4, $BL20=マスタ!$C$5, $BL20=マスタ!$C$6, $BL20=マスタ!$C$7, $BL20=マスタ!$C$8),
                            IF($X20&lt;=$BX$9, $BM$9,$BN$9), ""))))</f>
        <v/>
      </c>
      <c r="AA20" s="71"/>
      <c r="AB20" s="71"/>
      <c r="AC20" s="71"/>
      <c r="AD20" s="165"/>
      <c r="AE20" s="71"/>
      <c r="AF20" s="165"/>
      <c r="AG20" s="92"/>
      <c r="AH20" s="92"/>
      <c r="AI20" s="92"/>
      <c r="AJ20" s="92"/>
      <c r="AK20" s="121"/>
      <c r="AL20" s="121"/>
      <c r="AM20" s="121"/>
      <c r="AN20" s="121"/>
      <c r="AO20" s="92"/>
      <c r="AP20" s="130" t="str">
        <f t="shared" si="5"/>
        <v/>
      </c>
      <c r="AQ20" s="121"/>
      <c r="AR20" s="101" t="str">
        <f>IF(OR(SUMPRODUCT(--(AJ20:AQ20&lt;&gt;""))&lt;7,AND($AJ20=マスタ!$N$3,$AK20="")), "",
        IF($AJ20=マスタ!$N$5, $BO$9,
              IF(OR($F20=マスタ!$C$3, $F20=マスタ!$C$4, $F20=マスタ!$C$5),
                    IF(SUM($AL20,$AM20,$AP20,$AQ20)&gt;=1, $BM$9, $BN$9),
              IF(OR($F20=マスタ!$C$6, $F20=マスタ!$C$7, $F20=マスタ!$C$8),
                    IF($AK20&lt;10, $BO$9,
                          IF(AND(SUM($AL20,$AM20,$AP20,$AQ20)&gt;=($AK20*0.2), $AM20+$AP20+$AQ20&gt;=1),
                               $BM$9,$BN$9))))))</f>
        <v/>
      </c>
      <c r="AS20" s="101" t="str">
        <f>IF(OR(SUMPRODUCT(--(AJ20:AQ20&lt;&gt;""))&lt;7,AND($AJ20=マスタ!$N$3,$AK20="")), "",
     IF($AR20=$BN$9,$BN$9,
        IF($AJ20=マスタ!$N$5, $BO$9,
             IF(OR($F20=マスタ!$C$3, $F20=マスタ!$C$4, $F20=マスタ!$C$5),
                   IF($AQ20&gt;=1, $BM$9, $BN$9),
             IF(OR($F20=マスタ!$C$6, $F20=マスタ!$C$7, $F20=マスタ!$C$8),
                   IF($AK20&lt;5, IF($AQ20&gt;=1, $BM$9, $BN$9),
                         IF(OR($AQ20&gt;=1,
                                    AND(SUM($AL20,$AM20,$AP20,$AQ20)&gt;=$AK20*0.5, ($AM20+$AP20+$AQ20)&gt;=($AK20*0.2))),
                              $BM$9,$BN$9)))))))</f>
        <v/>
      </c>
      <c r="AT20" s="66"/>
      <c r="AU20" s="143"/>
      <c r="AV20" s="98" t="str" cm="1">
        <f t="array" aca="1" ref="AV20" ca="1">IF(AND($F20:$G20&lt;&gt;"", $I20:$K20&lt;&gt;"",
                 IF(OR($M20=$BM$9,$O20=$BM$9), TRUE, $L20&lt;&gt;""),
                 $M20&lt;&gt;"",$O20&lt;&gt;"",
                 IF($T20=$BM$9, TRUE, $Q20:$R20&lt;&gt;""),
                 IF(AND($BL20&lt;&gt;"", $BL20&lt;&gt;マスタ!$C$5, $BL20&lt;&gt;マスタ!$C$8), TRUE, $T20&lt;&gt;""),
                 IF(OR(AND($T20=$BM$9,  $Y20=$BO$9), $Y20=$BM$9), TRUE,$W20&lt;&gt;""),
                 IF(AND($BL20&lt;&gt;"", $BL20&lt;&gt;マスタ!$C$5, $BL20&lt;&gt;マスタ!$C$8), TRUE, $Y20&lt;&gt;""),
                 $AA20&lt;&gt;"",
                 IF($AA20=マスタ!$F$4, TRUE, $AB20&lt;&gt;""),
                 $AG20:$AO20&lt;&gt;"", $AQ20&lt;&gt;"", $AT20&lt;&gt;""),
        "（正常）入力済み", IF($C20= "", "（複数入力）未入力", "（エラー）一部未入力"))</f>
        <v>（複数入力）未入力</v>
      </c>
      <c r="AW20" s="98" t="str">
        <f t="shared" ca="1" si="6"/>
        <v/>
      </c>
      <c r="AX20" s="98" t="str">
        <f t="shared" ca="1" si="7"/>
        <v/>
      </c>
      <c r="AY20" s="98" t="str">
        <f t="shared" ca="1" si="8"/>
        <v/>
      </c>
      <c r="AZ20" s="98" t="str">
        <f t="shared" ca="1" si="9"/>
        <v/>
      </c>
      <c r="BA20" s="98" t="str">
        <f t="shared" ca="1" si="10"/>
        <v/>
      </c>
      <c r="BB20" s="98" t="str">
        <f t="shared" ca="1" si="11"/>
        <v/>
      </c>
      <c r="BC20" s="98" t="str">
        <f t="shared" ca="1" si="12"/>
        <v/>
      </c>
      <c r="BD20" s="98" t="str">
        <f t="shared" ca="1" si="13"/>
        <v/>
      </c>
      <c r="BE20" s="98" t="str">
        <f>IF($BL20="","",
   IF($T20=入力不可用2,
      IF(OR($BL20=マスタ!$C$5,$BL20=マスタ!$C$8), "未入力", "（正常）規定値"),
      IF(OR($BL20=マスタ!$C$5,$BL20=マスタ!$C$8), "（正常）規定値", "（エラー）値入力不可")))</f>
        <v/>
      </c>
      <c r="BF20" s="98" t="str">
        <f ca="1">IF($C20 = "", "",
       IF(AND(OR($BL20=マスタ!$C$5, $BL20=マスタ!$C$8), $T20 = ""), "未入力",
            IF(AND($Y20 = $BM$9, $T20 = $BO$9), "（エラー）「適合」のみ入力可", "（正常）規定値")))</f>
        <v/>
      </c>
      <c r="BG20" s="98" t="str">
        <f t="shared" ca="1" si="14"/>
        <v/>
      </c>
      <c r="BH20" s="98" t="str">
        <f t="shared" ca="1" si="15"/>
        <v/>
      </c>
      <c r="BI20" s="98" t="str">
        <f>IF($BL20="","",
   IF($Y20=入力不可用2,
      IF(OR($BL20=マスタ!$C$5,$BL20=マスタ!$C$8), "未入力", "（正常）規定値"),
      IF(OR($BL20=マスタ!$C$5,$BL20=マスタ!$C$8), "（正常）規定値", "（エラー）値入力不可")))</f>
        <v/>
      </c>
      <c r="BJ20" s="98" t="str">
        <f>IF($AA20="", "",
        IF($AA20=マスタ!$F$3,
             IF($AB20="", "未入力", "（正常）規定値"),
                  IF($AA20=マスタ!$F$4,
                       IF($AB20&lt;&gt;入力不可用2, "（エラー）値入力不可", "（正常）規定値"))))</f>
        <v/>
      </c>
      <c r="BL20" s="75" t="str">
        <f>IF(OR($F20 = マスタ!$C$5, F20 = マスタ!$C$8), $F20,
        IF(AND($F20 = マスタ!$C$3, 'その１事業者基本情報_入力シート（一部非公開）'!$U$16), $F20,
             IF(AND($F20 = マスタ!$C$4, 'その１事業者基本情報_入力シート（一部非公開）'!$S$16), $F20,
                  IF(AND(OR($F20 = マスタ!$C$6, $F20 = マスタ!$C$7),
                                'その１事業者基本情報_入力シート（一部非公開）'!$W$16), $F20,
                       IF(OR($F20 = マスタ!$C$3, $F20=マスタ!$C$4), マスタ!$C$5,
                            IF(OR($F20 = マスタ!$C$6, $F20 = マスタ!$C$7), マスタ!$C$8, ""))))))</f>
        <v/>
      </c>
      <c r="BM20" s="75" t="str">
        <f>IF($L20&lt;&gt;"", $L20,
       IF($M20 = マスタ!$B$3,
          IF(OR($F20=マスタ!$C$3,$F20=マスタ!$C$4,$F20=マスタ!$C$5),
            IF(OR($G20 = マスタ!$D$54, $G20 = マスタ!$D$55), 0.75, 0.87),
            IF(OR($G20 = マスタ!$D$54, $G20 = マスタ!$D$55), 0.62, 0.72)),
                 IF(ISBLANK($L20), "", $L20)))</f>
        <v/>
      </c>
      <c r="BN20" s="99" t="str">
        <f>IF($L20&lt;&gt;"", $L20,
        IF($O20 = マスタ!$B$3,
          IF(OR($F20=マスタ!$C$3,$F20=マスタ!$C$4,$F20=マスタ!$C$5), 0.6, 0.5),
             IF(ISBLANK($L20), "", $L20)))</f>
        <v/>
      </c>
      <c r="BO20" s="99" t="str">
        <f>IF($T20&lt;&gt;マスタ!$B$3,
        IF(ISBLANK($S20),"",$S20),
             IF($BL20=マスタ!$C$3,0.8,
             IF($BL20=マスタ!$C$4,0.85,
             IF($BL20=マスタ!$C$6,0.9,
             IF($BL20=マスタ!$C$7,0.9,
             IF($BL20=マスタ!$C$5,1,
             IF($BL20=マスタ!$C$8,1,"無効な入力")))))))</f>
        <v/>
      </c>
      <c r="BP20" s="99" t="str">
        <f>IF($Y20&lt;&gt;マスタ!$B$3,
   IF(ISBLANK($X20), "", $X20),
   IF($BL20=マスタ!$C$3, 0.75,
      IF($BL20=マスタ!$C$4, 0.8,
         IF($BL20=マスタ!$C$6, 0.8,
            IF($BL20=マスタ!$C$7, 0.8,
               IF($BL20=マスタ!$C$5, 0.8,
                  IF($BL20=マスタ!$C$8, 0.8, "無効な入力")))))))</f>
        <v/>
      </c>
      <c r="BQ20" s="75"/>
      <c r="BR20" s="75"/>
      <c r="BS20" s="75"/>
      <c r="BT20" s="75"/>
      <c r="BU20" s="75"/>
      <c r="BV20" s="75"/>
      <c r="BW20" s="75"/>
      <c r="BX20" s="75"/>
      <c r="BY20" s="75"/>
    </row>
    <row r="21" spans="3:77" ht="30.6" customHeight="1">
      <c r="C21" s="69" t="str" cm="1">
        <f t="array" aca="1" ref="C21" ca="1">IF(SUMPRODUCT(--($D21:$AU21 &lt;&gt; "")),RIGHT(YEAR(TODAY()),2)&amp;"01"&amp;REPT("0",4-LEN(ROW()-11))&amp;ROW()-11,"")</f>
        <v/>
      </c>
      <c r="D21" s="141"/>
      <c r="E21" s="142"/>
      <c r="F21" s="71"/>
      <c r="G21" s="66"/>
      <c r="H21" s="41" t="str">
        <f>IFERROR(VLOOKUP(G21,マスタ!$D$3:$E$55,2,FALSE),"")</f>
        <v/>
      </c>
      <c r="I21" s="93"/>
      <c r="J21" s="77"/>
      <c r="K21" s="66"/>
      <c r="L21" s="103"/>
      <c r="M21" s="71"/>
      <c r="N21" s="101" t="str">
        <f>IF($M21 = $BM$9, $BM$9,
        IF($L21 = "", "",
              IF(OR(
                          AND(OR($G21 = マスタ!$D$54, $G21 = マスタ!$D$55), $L21 &lt;= $BP$9),
                          AND($G21 &lt;&gt; マスタ!$D$54, $G21 &lt;&gt; マスタ!$D$55, $L21 &lt;= $BQ$9)
                         ), $BM$9, $BN$9)))</f>
        <v/>
      </c>
      <c r="O21" s="71"/>
      <c r="P21" s="101" t="str">
        <f t="shared" si="1"/>
        <v/>
      </c>
      <c r="Q21" s="124"/>
      <c r="R21" s="124"/>
      <c r="S21" s="112" t="str">
        <f t="shared" si="2"/>
        <v/>
      </c>
      <c r="T21" s="71"/>
      <c r="U21" s="41" t="str">
        <f>IF($T21=$BM$9, $BM$9,
        IF($S21="", "",
             IF(OR(AND($BL21=マスタ!$C$3, $S21&lt;=$BS$9),
                        AND($BL21=マスタ!$C$4, $S21&lt;=$BT$9),
                        AND(OR($BL21=マスタ!$C$6, $BL21=マスタ!$C$7), $S21&lt;=$BU$9),
                        AND(OR($BL21=マスタ!$C$5, $BL21=マスタ!$C$8), $S21&lt;=$BV$9)),
                  $BM$9, $BN$9)))</f>
        <v/>
      </c>
      <c r="V21" s="129" t="str">
        <f t="shared" si="3"/>
        <v/>
      </c>
      <c r="W21" s="124"/>
      <c r="X21" s="112" t="str">
        <f t="shared" si="4"/>
        <v/>
      </c>
      <c r="Y21" s="71"/>
      <c r="Z21" s="41" t="str">
        <f>IF($Y21=$BM$9, $BM$9,
        IF(AND($T21 = $BM$9, $Y21 = $BO$9), $BN$9,
             IF($BL21=マスタ!$C$3,
                  IF($X21&lt;=$BW$9, $BM$9,$BN$9),
                       IF(OR($BL21=マスタ!$C$4, $BL21=マスタ!$C$5, $BL21=マスタ!$C$6, $BL21=マスタ!$C$7, $BL21=マスタ!$C$8),
                            IF($X21&lt;=$BX$9, $BM$9,$BN$9), ""))))</f>
        <v/>
      </c>
      <c r="AA21" s="71"/>
      <c r="AB21" s="71"/>
      <c r="AC21" s="71"/>
      <c r="AD21" s="165"/>
      <c r="AE21" s="71"/>
      <c r="AF21" s="165"/>
      <c r="AG21" s="92"/>
      <c r="AH21" s="92"/>
      <c r="AI21" s="92"/>
      <c r="AJ21" s="92"/>
      <c r="AK21" s="121"/>
      <c r="AL21" s="121"/>
      <c r="AM21" s="121"/>
      <c r="AN21" s="121"/>
      <c r="AO21" s="92"/>
      <c r="AP21" s="130" t="str">
        <f t="shared" si="5"/>
        <v/>
      </c>
      <c r="AQ21" s="121"/>
      <c r="AR21" s="101" t="str">
        <f>IF(OR(SUMPRODUCT(--(AJ21:AQ21&lt;&gt;""))&lt;7,AND($AJ21=マスタ!$N$3,$AK21="")), "",
        IF($AJ21=マスタ!$N$5, $BO$9,
              IF(OR($F21=マスタ!$C$3, $F21=マスタ!$C$4, $F21=マスタ!$C$5),
                    IF(SUM($AL21,$AM21,$AP21,$AQ21)&gt;=1, $BM$9, $BN$9),
              IF(OR($F21=マスタ!$C$6, $F21=マスタ!$C$7, $F21=マスタ!$C$8),
                    IF($AK21&lt;10, $BO$9,
                          IF(AND(SUM($AL21,$AM21,$AP21,$AQ21)&gt;=($AK21*0.2), $AM21+$AP21+$AQ21&gt;=1),
                               $BM$9,$BN$9))))))</f>
        <v/>
      </c>
      <c r="AS21" s="101" t="str">
        <f>IF(OR(SUMPRODUCT(--(AJ21:AQ21&lt;&gt;""))&lt;7,AND($AJ21=マスタ!$N$3,$AK21="")), "",
     IF($AR21=$BN$9,$BN$9,
        IF($AJ21=マスタ!$N$5, $BO$9,
             IF(OR($F21=マスタ!$C$3, $F21=マスタ!$C$4, $F21=マスタ!$C$5),
                   IF($AQ21&gt;=1, $BM$9, $BN$9),
             IF(OR($F21=マスタ!$C$6, $F21=マスタ!$C$7, $F21=マスタ!$C$8),
                   IF($AK21&lt;5, IF($AQ21&gt;=1, $BM$9, $BN$9),
                         IF(OR($AQ21&gt;=1,
                                    AND(SUM($AL21,$AM21,$AP21,$AQ21)&gt;=$AK21*0.5, ($AM21+$AP21+$AQ21)&gt;=($AK21*0.2))),
                              $BM$9,$BN$9)))))))</f>
        <v/>
      </c>
      <c r="AT21" s="66"/>
      <c r="AU21" s="143"/>
      <c r="AV21" s="98" t="str" cm="1">
        <f t="array" aca="1" ref="AV21" ca="1">IF(AND($F21:$G21&lt;&gt;"", $I21:$K21&lt;&gt;"",
                 IF(OR($M21=$BM$9,$O21=$BM$9), TRUE, $L21&lt;&gt;""),
                 $M21&lt;&gt;"",$O21&lt;&gt;"",
                 IF($T21=$BM$9, TRUE, $Q21:$R21&lt;&gt;""),
                 IF(AND($BL21&lt;&gt;"", $BL21&lt;&gt;マスタ!$C$5, $BL21&lt;&gt;マスタ!$C$8), TRUE, $T21&lt;&gt;""),
                 IF(OR(AND($T21=$BM$9,  $Y21=$BO$9), $Y21=$BM$9), TRUE,$W21&lt;&gt;""),
                 IF(AND($BL21&lt;&gt;"", $BL21&lt;&gt;マスタ!$C$5, $BL21&lt;&gt;マスタ!$C$8), TRUE, $Y21&lt;&gt;""),
                 $AA21&lt;&gt;"",
                 IF($AA21=マスタ!$F$4, TRUE, $AB21&lt;&gt;""),
                 $AG21:$AO21&lt;&gt;"", $AQ21&lt;&gt;"", $AT21&lt;&gt;""),
        "（正常）入力済み", IF($C21= "", "（複数入力）未入力", "（エラー）一部未入力"))</f>
        <v>（複数入力）未入力</v>
      </c>
      <c r="AW21" s="98" t="str">
        <f t="shared" ca="1" si="6"/>
        <v/>
      </c>
      <c r="AX21" s="98" t="str">
        <f t="shared" ca="1" si="7"/>
        <v/>
      </c>
      <c r="AY21" s="98" t="str">
        <f t="shared" ca="1" si="8"/>
        <v/>
      </c>
      <c r="AZ21" s="98" t="str">
        <f t="shared" ca="1" si="9"/>
        <v/>
      </c>
      <c r="BA21" s="98" t="str">
        <f t="shared" ca="1" si="10"/>
        <v/>
      </c>
      <c r="BB21" s="98" t="str">
        <f t="shared" ca="1" si="11"/>
        <v/>
      </c>
      <c r="BC21" s="98" t="str">
        <f t="shared" ca="1" si="12"/>
        <v/>
      </c>
      <c r="BD21" s="98" t="str">
        <f t="shared" ca="1" si="13"/>
        <v/>
      </c>
      <c r="BE21" s="98" t="str">
        <f>IF($BL21="","",
   IF($T21=入力不可用2,
      IF(OR($BL21=マスタ!$C$5,$BL21=マスタ!$C$8), "未入力", "（正常）規定値"),
      IF(OR($BL21=マスタ!$C$5,$BL21=マスタ!$C$8), "（正常）規定値", "（エラー）値入力不可")))</f>
        <v/>
      </c>
      <c r="BF21" s="98" t="str">
        <f ca="1">IF($C21 = "", "",
       IF(AND(OR($BL21=マスタ!$C$5, $BL21=マスタ!$C$8), $T21 = ""), "未入力",
            IF(AND($Y21 = $BM$9, $T21 = $BO$9), "（エラー）「適合」のみ入力可", "（正常）規定値")))</f>
        <v/>
      </c>
      <c r="BG21" s="98" t="str">
        <f t="shared" ca="1" si="14"/>
        <v/>
      </c>
      <c r="BH21" s="98" t="str">
        <f t="shared" ca="1" si="15"/>
        <v/>
      </c>
      <c r="BI21" s="98" t="str">
        <f>IF($BL21="","",
   IF($Y21=入力不可用2,
      IF(OR($BL21=マスタ!$C$5,$BL21=マスタ!$C$8), "未入力", "（正常）規定値"),
      IF(OR($BL21=マスタ!$C$5,$BL21=マスタ!$C$8), "（正常）規定値", "（エラー）値入力不可")))</f>
        <v/>
      </c>
      <c r="BJ21" s="98" t="str">
        <f>IF($AA21="", "",
        IF($AA21=マスタ!$F$3,
             IF($AB21="", "未入力", "（正常）規定値"),
                  IF($AA21=マスタ!$F$4,
                       IF($AB21&lt;&gt;入力不可用2, "（エラー）値入力不可", "（正常）規定値"))))</f>
        <v/>
      </c>
      <c r="BL21" s="75" t="str">
        <f>IF(OR($F21 = マスタ!$C$5, F21 = マスタ!$C$8), $F21,
        IF(AND($F21 = マスタ!$C$3, 'その１事業者基本情報_入力シート（一部非公開）'!$U$16), $F21,
             IF(AND($F21 = マスタ!$C$4, 'その１事業者基本情報_入力シート（一部非公開）'!$S$16), $F21,
                  IF(AND(OR($F21 = マスタ!$C$6, $F21 = マスタ!$C$7),
                                'その１事業者基本情報_入力シート（一部非公開）'!$W$16), $F21,
                       IF(OR($F21 = マスタ!$C$3, $F21=マスタ!$C$4), マスタ!$C$5,
                            IF(OR($F21 = マスタ!$C$6, $F21 = マスタ!$C$7), マスタ!$C$8, ""))))))</f>
        <v/>
      </c>
      <c r="BM21" s="75" t="str">
        <f>IF($L21&lt;&gt;"", $L21,
       IF($M21 = マスタ!$B$3,
          IF(OR($F21=マスタ!$C$3,$F21=マスタ!$C$4,$F21=マスタ!$C$5),
            IF(OR($G21 = マスタ!$D$54, $G21 = マスタ!$D$55), 0.75, 0.87),
            IF(OR($G21 = マスタ!$D$54, $G21 = マスタ!$D$55), 0.62, 0.72)),
                 IF(ISBLANK($L21), "", $L21)))</f>
        <v/>
      </c>
      <c r="BN21" s="99" t="str">
        <f>IF($L21&lt;&gt;"", $L21,
        IF($O21 = マスタ!$B$3,
          IF(OR($F21=マスタ!$C$3,$F21=マスタ!$C$4,$F21=マスタ!$C$5), 0.6, 0.5),
             IF(ISBLANK($L21), "", $L21)))</f>
        <v/>
      </c>
      <c r="BO21" s="99" t="str">
        <f>IF($T21&lt;&gt;マスタ!$B$3,
        IF(ISBLANK($S21),"",$S21),
             IF($BL21=マスタ!$C$3,0.8,
             IF($BL21=マスタ!$C$4,0.85,
             IF($BL21=マスタ!$C$6,0.9,
             IF($BL21=マスタ!$C$7,0.9,
             IF($BL21=マスタ!$C$5,1,
             IF($BL21=マスタ!$C$8,1,"無効な入力")))))))</f>
        <v/>
      </c>
      <c r="BP21" s="99" t="str">
        <f>IF($Y21&lt;&gt;マスタ!$B$3,
   IF(ISBLANK($X21), "", $X21),
   IF($BL21=マスタ!$C$3, 0.75,
      IF($BL21=マスタ!$C$4, 0.8,
         IF($BL21=マスタ!$C$6, 0.8,
            IF($BL21=マスタ!$C$7, 0.8,
               IF($BL21=マスタ!$C$5, 0.8,
                  IF($BL21=マスタ!$C$8, 0.8, "無効な入力")))))))</f>
        <v/>
      </c>
      <c r="BQ21" s="75"/>
      <c r="BR21" s="75"/>
      <c r="BS21" s="75"/>
      <c r="BT21" s="75"/>
      <c r="BU21" s="75"/>
      <c r="BV21" s="75"/>
      <c r="BW21" s="75"/>
      <c r="BX21" s="75"/>
      <c r="BY21" s="75"/>
    </row>
    <row r="22" spans="3:77" ht="30.6" customHeight="1">
      <c r="C22" s="69" t="str" cm="1">
        <f t="array" aca="1" ref="C22" ca="1">IF(SUMPRODUCT(--($D22:$AU22 &lt;&gt; "")),RIGHT(YEAR(TODAY()),2)&amp;"01"&amp;REPT("0",4-LEN(ROW()-11))&amp;ROW()-11,"")</f>
        <v/>
      </c>
      <c r="D22" s="141"/>
      <c r="E22" s="142"/>
      <c r="F22" s="71"/>
      <c r="G22" s="66"/>
      <c r="H22" s="41" t="str">
        <f>IFERROR(VLOOKUP(G22,マスタ!$D$3:$E$55,2,FALSE),"")</f>
        <v/>
      </c>
      <c r="I22" s="93"/>
      <c r="J22" s="77"/>
      <c r="K22" s="66"/>
      <c r="L22" s="103"/>
      <c r="M22" s="71"/>
      <c r="N22" s="101" t="str">
        <f>IF($M22 = $BM$9, $BM$9,
        IF($L22 = "", "",
              IF(OR(
                          AND(OR($G22 = マスタ!$D$54, $G22 = マスタ!$D$55), $L22 &lt;= $BP$9),
                          AND($G22 &lt;&gt; マスタ!$D$54, $G22 &lt;&gt; マスタ!$D$55, $L22 &lt;= $BQ$9)
                         ), $BM$9, $BN$9)))</f>
        <v/>
      </c>
      <c r="O22" s="71"/>
      <c r="P22" s="101" t="str">
        <f t="shared" si="1"/>
        <v/>
      </c>
      <c r="Q22" s="124"/>
      <c r="R22" s="124"/>
      <c r="S22" s="112" t="str">
        <f t="shared" si="2"/>
        <v/>
      </c>
      <c r="T22" s="71"/>
      <c r="U22" s="41" t="str">
        <f>IF($T22=$BM$9, $BM$9,
        IF($S22="", "",
             IF(OR(AND($BL22=マスタ!$C$3, $S22&lt;=$BS$9),
                        AND($BL22=マスタ!$C$4, $S22&lt;=$BT$9),
                        AND(OR($BL22=マスタ!$C$6, $BL22=マスタ!$C$7), $S22&lt;=$BU$9),
                        AND(OR($BL22=マスタ!$C$5, $BL22=マスタ!$C$8), $S22&lt;=$BV$9)),
                  $BM$9, $BN$9)))</f>
        <v/>
      </c>
      <c r="V22" s="129" t="str">
        <f t="shared" si="3"/>
        <v/>
      </c>
      <c r="W22" s="124"/>
      <c r="X22" s="112" t="str">
        <f t="shared" si="4"/>
        <v/>
      </c>
      <c r="Y22" s="71"/>
      <c r="Z22" s="41" t="str">
        <f>IF($Y22=$BM$9, $BM$9,
        IF(AND($T22 = $BM$9, $Y22 = $BO$9), $BN$9,
             IF($BL22=マスタ!$C$3,
                  IF($X22&lt;=$BW$9, $BM$9,$BN$9),
                       IF(OR($BL22=マスタ!$C$4, $BL22=マスタ!$C$5, $BL22=マスタ!$C$6, $BL22=マスタ!$C$7, $BL22=マスタ!$C$8),
                            IF($X22&lt;=$BX$9, $BM$9,$BN$9), ""))))</f>
        <v/>
      </c>
      <c r="AA22" s="71"/>
      <c r="AB22" s="71"/>
      <c r="AC22" s="71"/>
      <c r="AD22" s="165"/>
      <c r="AE22" s="71"/>
      <c r="AF22" s="165"/>
      <c r="AG22" s="92"/>
      <c r="AH22" s="92"/>
      <c r="AI22" s="92"/>
      <c r="AJ22" s="92"/>
      <c r="AK22" s="121"/>
      <c r="AL22" s="121"/>
      <c r="AM22" s="121"/>
      <c r="AN22" s="121"/>
      <c r="AO22" s="92"/>
      <c r="AP22" s="130" t="str">
        <f t="shared" si="5"/>
        <v/>
      </c>
      <c r="AQ22" s="121"/>
      <c r="AR22" s="101" t="str">
        <f>IF(OR(SUMPRODUCT(--(AJ22:AQ22&lt;&gt;""))&lt;7,AND($AJ22=マスタ!$N$3,$AK22="")), "",
        IF($AJ22=マスタ!$N$5, $BO$9,
              IF(OR($F22=マスタ!$C$3, $F22=マスタ!$C$4, $F22=マスタ!$C$5),
                    IF(SUM($AL22,$AM22,$AP22,$AQ22)&gt;=1, $BM$9, $BN$9),
              IF(OR($F22=マスタ!$C$6, $F22=マスタ!$C$7, $F22=マスタ!$C$8),
                    IF($AK22&lt;10, $BO$9,
                          IF(AND(SUM($AL22,$AM22,$AP22,$AQ22)&gt;=($AK22*0.2), $AM22+$AP22+$AQ22&gt;=1),
                               $BM$9,$BN$9))))))</f>
        <v/>
      </c>
      <c r="AS22" s="101" t="str">
        <f>IF(OR(SUMPRODUCT(--(AJ22:AQ22&lt;&gt;""))&lt;7,AND($AJ22=マスタ!$N$3,$AK22="")), "",
     IF($AR22=$BN$9,$BN$9,
        IF($AJ22=マスタ!$N$5, $BO$9,
             IF(OR($F22=マスタ!$C$3, $F22=マスタ!$C$4, $F22=マスタ!$C$5),
                   IF($AQ22&gt;=1, $BM$9, $BN$9),
             IF(OR($F22=マスタ!$C$6, $F22=マスタ!$C$7, $F22=マスタ!$C$8),
                   IF($AK22&lt;5, IF($AQ22&gt;=1, $BM$9, $BN$9),
                         IF(OR($AQ22&gt;=1,
                                    AND(SUM($AL22,$AM22,$AP22,$AQ22)&gt;=$AK22*0.5, ($AM22+$AP22+$AQ22)&gt;=($AK22*0.2))),
                              $BM$9,$BN$9)))))))</f>
        <v/>
      </c>
      <c r="AT22" s="66"/>
      <c r="AU22" s="143"/>
      <c r="AV22" s="98" t="str" cm="1">
        <f t="array" aca="1" ref="AV22" ca="1">IF(AND($F22:$G22&lt;&gt;"", $I22:$K22&lt;&gt;"",
                 IF(OR($M22=$BM$9,$O22=$BM$9), TRUE, $L22&lt;&gt;""),
                 $M22&lt;&gt;"",$O22&lt;&gt;"",
                 IF($T22=$BM$9, TRUE, $Q22:$R22&lt;&gt;""),
                 IF(AND($BL22&lt;&gt;"", $BL22&lt;&gt;マスタ!$C$5, $BL22&lt;&gt;マスタ!$C$8), TRUE, $T22&lt;&gt;""),
                 IF(OR(AND($T22=$BM$9,  $Y22=$BO$9), $Y22=$BM$9), TRUE,$W22&lt;&gt;""),
                 IF(AND($BL22&lt;&gt;"", $BL22&lt;&gt;マスタ!$C$5, $BL22&lt;&gt;マスタ!$C$8), TRUE, $Y22&lt;&gt;""),
                 $AA22&lt;&gt;"",
                 IF($AA22=マスタ!$F$4, TRUE, $AB22&lt;&gt;""),
                 $AG22:$AO22&lt;&gt;"", $AQ22&lt;&gt;"", $AT22&lt;&gt;""),
        "（正常）入力済み", IF($C22= "", "（複数入力）未入力", "（エラー）一部未入力"))</f>
        <v>（複数入力）未入力</v>
      </c>
      <c r="AW22" s="98" t="str">
        <f t="shared" ca="1" si="6"/>
        <v/>
      </c>
      <c r="AX22" s="98" t="str">
        <f t="shared" ca="1" si="7"/>
        <v/>
      </c>
      <c r="AY22" s="98" t="str">
        <f t="shared" ca="1" si="8"/>
        <v/>
      </c>
      <c r="AZ22" s="98" t="str">
        <f t="shared" ca="1" si="9"/>
        <v/>
      </c>
      <c r="BA22" s="98" t="str">
        <f t="shared" ca="1" si="10"/>
        <v/>
      </c>
      <c r="BB22" s="98" t="str">
        <f t="shared" ca="1" si="11"/>
        <v/>
      </c>
      <c r="BC22" s="98" t="str">
        <f t="shared" ca="1" si="12"/>
        <v/>
      </c>
      <c r="BD22" s="98" t="str">
        <f t="shared" ca="1" si="13"/>
        <v/>
      </c>
      <c r="BE22" s="98" t="str">
        <f>IF($BL22="","",
   IF($T22=入力不可用2,
      IF(OR($BL22=マスタ!$C$5,$BL22=マスタ!$C$8), "未入力", "（正常）規定値"),
      IF(OR($BL22=マスタ!$C$5,$BL22=マスタ!$C$8), "（正常）規定値", "（エラー）値入力不可")))</f>
        <v/>
      </c>
      <c r="BF22" s="98" t="str">
        <f ca="1">IF($C22 = "", "",
       IF(AND(OR($BL22=マスタ!$C$5, $BL22=マスタ!$C$8), $T22 = ""), "未入力",
            IF(AND($Y22 = $BM$9, $T22 = $BO$9), "（エラー）「適合」のみ入力可", "（正常）規定値")))</f>
        <v/>
      </c>
      <c r="BG22" s="98" t="str">
        <f t="shared" ca="1" si="14"/>
        <v/>
      </c>
      <c r="BH22" s="98" t="str">
        <f t="shared" ca="1" si="15"/>
        <v/>
      </c>
      <c r="BI22" s="98" t="str">
        <f>IF($BL22="","",
   IF($Y22=入力不可用2,
      IF(OR($BL22=マスタ!$C$5,$BL22=マスタ!$C$8), "未入力", "（正常）規定値"),
      IF(OR($BL22=マスタ!$C$5,$BL22=マスタ!$C$8), "（正常）規定値", "（エラー）値入力不可")))</f>
        <v/>
      </c>
      <c r="BJ22" s="98" t="str">
        <f>IF($AA22="", "",
        IF($AA22=マスタ!$F$3,
             IF($AB22="", "未入力", "（正常）規定値"),
                  IF($AA22=マスタ!$F$4,
                       IF($AB22&lt;&gt;入力不可用2, "（エラー）値入力不可", "（正常）規定値"))))</f>
        <v/>
      </c>
      <c r="BL22" s="75" t="str">
        <f>IF(OR($F22 = マスタ!$C$5, F22 = マスタ!$C$8), $F22,
        IF(AND($F22 = マスタ!$C$3, 'その１事業者基本情報_入力シート（一部非公開）'!$U$16), $F22,
             IF(AND($F22 = マスタ!$C$4, 'その１事業者基本情報_入力シート（一部非公開）'!$S$16), $F22,
                  IF(AND(OR($F22 = マスタ!$C$6, $F22 = マスタ!$C$7),
                                'その１事業者基本情報_入力シート（一部非公開）'!$W$16), $F22,
                       IF(OR($F22 = マスタ!$C$3, $F22=マスタ!$C$4), マスタ!$C$5,
                            IF(OR($F22 = マスタ!$C$6, $F22 = マスタ!$C$7), マスタ!$C$8, ""))))))</f>
        <v/>
      </c>
      <c r="BM22" s="75" t="str">
        <f>IF($L22&lt;&gt;"", $L22,
       IF($M22 = マスタ!$B$3,
          IF(OR($F22=マスタ!$C$3,$F22=マスタ!$C$4,$F22=マスタ!$C$5),
            IF(OR($G22 = マスタ!$D$54, $G22 = マスタ!$D$55), 0.75, 0.87),
            IF(OR($G22 = マスタ!$D$54, $G22 = マスタ!$D$55), 0.62, 0.72)),
                 IF(ISBLANK($L22), "", $L22)))</f>
        <v/>
      </c>
      <c r="BN22" s="99" t="str">
        <f>IF($L22&lt;&gt;"", $L22,
        IF($O22 = マスタ!$B$3,
          IF(OR($F22=マスタ!$C$3,$F22=マスタ!$C$4,$F22=マスタ!$C$5), 0.6, 0.5),
             IF(ISBLANK($L22), "", $L22)))</f>
        <v/>
      </c>
      <c r="BO22" s="99" t="str">
        <f>IF($T22&lt;&gt;マスタ!$B$3,
        IF(ISBLANK($S22),"",$S22),
             IF($BL22=マスタ!$C$3,0.8,
             IF($BL22=マスタ!$C$4,0.85,
             IF($BL22=マスタ!$C$6,0.9,
             IF($BL22=マスタ!$C$7,0.9,
             IF($BL22=マスタ!$C$5,1,
             IF($BL22=マスタ!$C$8,1,"無効な入力")))))))</f>
        <v/>
      </c>
      <c r="BP22" s="99" t="str">
        <f>IF($Y22&lt;&gt;マスタ!$B$3,
   IF(ISBLANK($X22), "", $X22),
   IF($BL22=マスタ!$C$3, 0.75,
      IF($BL22=マスタ!$C$4, 0.8,
         IF($BL22=マスタ!$C$6, 0.8,
            IF($BL22=マスタ!$C$7, 0.8,
               IF($BL22=マスタ!$C$5, 0.8,
                  IF($BL22=マスタ!$C$8, 0.8, "無効な入力")))))))</f>
        <v/>
      </c>
      <c r="BQ22" s="75"/>
      <c r="BR22" s="75"/>
      <c r="BS22" s="75"/>
      <c r="BT22" s="75"/>
      <c r="BU22" s="75"/>
      <c r="BV22" s="75"/>
      <c r="BW22" s="75"/>
      <c r="BX22" s="75"/>
      <c r="BY22" s="75"/>
    </row>
    <row r="23" spans="3:77" ht="30.75" customHeight="1">
      <c r="C23" s="69" t="str" cm="1">
        <f t="array" aca="1" ref="C23" ca="1">IF(SUMPRODUCT(--($D23:$AU23 &lt;&gt; "")),RIGHT(YEAR(TODAY()),2)&amp;"01"&amp;REPT("0",4-LEN(ROW()-11))&amp;ROW()-11,"")</f>
        <v/>
      </c>
      <c r="D23" s="141"/>
      <c r="E23" s="142"/>
      <c r="F23" s="71"/>
      <c r="G23" s="66"/>
      <c r="H23" s="41" t="str">
        <f>IFERROR(VLOOKUP(G23,マスタ!$D$3:$E$55,2,FALSE),"")</f>
        <v/>
      </c>
      <c r="I23" s="93"/>
      <c r="J23" s="77"/>
      <c r="K23" s="66"/>
      <c r="L23" s="103"/>
      <c r="M23" s="71"/>
      <c r="N23" s="101" t="str">
        <f>IF($M23 = $BM$9, $BM$9,
        IF($L23 = "", "",
              IF(OR(
                          AND(OR($G23 = マスタ!$D$54, $G23 = マスタ!$D$55), $L23 &lt;= $BP$9),
                          AND($G23 &lt;&gt; マスタ!$D$54, $G23 &lt;&gt; マスタ!$D$55, $L23 &lt;= $BQ$9)
                         ), $BM$9, $BN$9)))</f>
        <v/>
      </c>
      <c r="O23" s="71"/>
      <c r="P23" s="101" t="str">
        <f t="shared" si="1"/>
        <v/>
      </c>
      <c r="Q23" s="124"/>
      <c r="R23" s="124"/>
      <c r="S23" s="112" t="str">
        <f t="shared" si="2"/>
        <v/>
      </c>
      <c r="T23" s="71"/>
      <c r="U23" s="41" t="str">
        <f>IF($T23=$BM$9, $BM$9,
        IF($S23="", "",
             IF(OR(AND($BL23=マスタ!$C$3, $S23&lt;=$BS$9),
                        AND($BL23=マスタ!$C$4, $S23&lt;=$BT$9),
                        AND(OR($BL23=マスタ!$C$6, $BL23=マスタ!$C$7), $S23&lt;=$BU$9),
                        AND(OR($BL23=マスタ!$C$5, $BL23=マスタ!$C$8), $S23&lt;=$BV$9)),
                  $BM$9, $BN$9)))</f>
        <v/>
      </c>
      <c r="V23" s="129" t="str">
        <f t="shared" si="3"/>
        <v/>
      </c>
      <c r="W23" s="124"/>
      <c r="X23" s="112" t="str">
        <f t="shared" si="4"/>
        <v/>
      </c>
      <c r="Y23" s="71"/>
      <c r="Z23" s="41" t="str">
        <f>IF($Y23=$BM$9, $BM$9,
        IF(AND($T23 = $BM$9, $Y23 = $BO$9), $BN$9,
             IF($BL23=マスタ!$C$3,
                  IF($X23&lt;=$BW$9, $BM$9,$BN$9),
                       IF(OR($BL23=マスタ!$C$4, $BL23=マスタ!$C$5, $BL23=マスタ!$C$6, $BL23=マスタ!$C$7, $BL23=マスタ!$C$8),
                            IF($X23&lt;=$BX$9, $BM$9,$BN$9), ""))))</f>
        <v/>
      </c>
      <c r="AA23" s="71"/>
      <c r="AB23" s="71"/>
      <c r="AC23" s="71"/>
      <c r="AD23" s="165"/>
      <c r="AE23" s="71"/>
      <c r="AF23" s="165"/>
      <c r="AG23" s="92"/>
      <c r="AH23" s="92"/>
      <c r="AI23" s="92"/>
      <c r="AJ23" s="92"/>
      <c r="AK23" s="121"/>
      <c r="AL23" s="121"/>
      <c r="AM23" s="121"/>
      <c r="AN23" s="121"/>
      <c r="AO23" s="92"/>
      <c r="AP23" s="130" t="str">
        <f t="shared" si="5"/>
        <v/>
      </c>
      <c r="AQ23" s="121"/>
      <c r="AR23" s="101" t="str">
        <f>IF(OR(SUMPRODUCT(--(AJ23:AQ23&lt;&gt;""))&lt;7,AND($AJ23=マスタ!$N$3,$AK23="")), "",
        IF($AJ23=マスタ!$N$5, $BO$9,
              IF(OR($F23=マスタ!$C$3, $F23=マスタ!$C$4, $F23=マスタ!$C$5),
                    IF(SUM($AL23,$AM23,$AP23,$AQ23)&gt;=1, $BM$9, $BN$9),
              IF(OR($F23=マスタ!$C$6, $F23=マスタ!$C$7, $F23=マスタ!$C$8),
                    IF($AK23&lt;10, $BO$9,
                          IF(AND(SUM($AL23,$AM23,$AP23,$AQ23)&gt;=($AK23*0.2), $AM23+$AP23+$AQ23&gt;=1),
                               $BM$9,$BN$9))))))</f>
        <v/>
      </c>
      <c r="AS23" s="101" t="str">
        <f>IF(OR(SUMPRODUCT(--(AJ23:AQ23&lt;&gt;""))&lt;7,AND($AJ23=マスタ!$N$3,$AK23="")), "",
     IF($AR23=$BN$9,$BN$9,
        IF($AJ23=マスタ!$N$5, $BO$9,
             IF(OR($F23=マスタ!$C$3, $F23=マスタ!$C$4, $F23=マスタ!$C$5),
                   IF($AQ23&gt;=1, $BM$9, $BN$9),
             IF(OR($F23=マスタ!$C$6, $F23=マスタ!$C$7, $F23=マスタ!$C$8),
                   IF($AK23&lt;5, IF($AQ23&gt;=1, $BM$9, $BN$9),
                         IF(OR($AQ23&gt;=1,
                                    AND(SUM($AL23,$AM23,$AP23,$AQ23)&gt;=$AK23*0.5, ($AM23+$AP23+$AQ23)&gt;=($AK23*0.2))),
                              $BM$9,$BN$9)))))))</f>
        <v/>
      </c>
      <c r="AT23" s="66"/>
      <c r="AU23" s="143"/>
      <c r="AV23" s="98" t="str" cm="1">
        <f t="array" aca="1" ref="AV23" ca="1">IF(AND($F23:$G23&lt;&gt;"", $I23:$K23&lt;&gt;"",
                 IF(OR($M23=$BM$9,$O23=$BM$9), TRUE, $L23&lt;&gt;""),
                 $M23&lt;&gt;"",$O23&lt;&gt;"",
                 IF($T23=$BM$9, TRUE, $Q23:$R23&lt;&gt;""),
                 IF(AND($BL23&lt;&gt;"", $BL23&lt;&gt;マスタ!$C$5, $BL23&lt;&gt;マスタ!$C$8), TRUE, $T23&lt;&gt;""),
                 IF(OR(AND($T23=$BM$9,  $Y23=$BO$9), $Y23=$BM$9), TRUE,$W23&lt;&gt;""),
                 IF(AND($BL23&lt;&gt;"", $BL23&lt;&gt;マスタ!$C$5, $BL23&lt;&gt;マスタ!$C$8), TRUE, $Y23&lt;&gt;""),
                 $AA23&lt;&gt;"",
                 IF($AA23=マスタ!$F$4, TRUE, $AB23&lt;&gt;""),
                 $AG23:$AO23&lt;&gt;"", $AQ23&lt;&gt;"", $AT23&lt;&gt;""),
        "（正常）入力済み", IF($C23= "", "（複数入力）未入力", "（エラー）一部未入力"))</f>
        <v>（複数入力）未入力</v>
      </c>
      <c r="AW23" s="98" t="str">
        <f t="shared" ca="1" si="6"/>
        <v/>
      </c>
      <c r="AX23" s="98" t="str">
        <f t="shared" ca="1" si="7"/>
        <v/>
      </c>
      <c r="AY23" s="98" t="str">
        <f t="shared" ca="1" si="8"/>
        <v/>
      </c>
      <c r="AZ23" s="98" t="str">
        <f t="shared" ca="1" si="9"/>
        <v/>
      </c>
      <c r="BA23" s="98" t="str">
        <f t="shared" ca="1" si="10"/>
        <v/>
      </c>
      <c r="BB23" s="98" t="str">
        <f t="shared" ca="1" si="11"/>
        <v/>
      </c>
      <c r="BC23" s="98" t="str">
        <f t="shared" ca="1" si="12"/>
        <v/>
      </c>
      <c r="BD23" s="98" t="str">
        <f t="shared" ca="1" si="13"/>
        <v/>
      </c>
      <c r="BE23" s="98" t="str">
        <f>IF($BL23="","",
   IF($T23=入力不可用2,
      IF(OR($BL23=マスタ!$C$5,$BL23=マスタ!$C$8), "未入力", "（正常）規定値"),
      IF(OR($BL23=マスタ!$C$5,$BL23=マスタ!$C$8), "（正常）規定値", "（エラー）値入力不可")))</f>
        <v/>
      </c>
      <c r="BF23" s="98" t="str">
        <f ca="1">IF($C23 = "", "",
       IF(AND(OR($BL23=マスタ!$C$5, $BL23=マスタ!$C$8), $T23 = ""), "未入力",
            IF(AND($Y23 = $BM$9, $T23 = $BO$9), "（エラー）「適合」のみ入力可", "（正常）規定値")))</f>
        <v/>
      </c>
      <c r="BG23" s="98" t="str">
        <f t="shared" ca="1" si="14"/>
        <v/>
      </c>
      <c r="BH23" s="98" t="str">
        <f t="shared" ca="1" si="15"/>
        <v/>
      </c>
      <c r="BI23" s="98" t="str">
        <f>IF($BL23="","",
   IF($Y23=入力不可用2,
      IF(OR($BL23=マスタ!$C$5,$BL23=マスタ!$C$8), "未入力", "（正常）規定値"),
      IF(OR($BL23=マスタ!$C$5,$BL23=マスタ!$C$8), "（正常）規定値", "（エラー）値入力不可")))</f>
        <v/>
      </c>
      <c r="BJ23" s="98" t="str">
        <f>IF($AA23="", "",
        IF($AA23=マスタ!$F$3,
             IF($AB23="", "未入力", "（正常）規定値"),
                  IF($AA23=マスタ!$F$4,
                       IF($AB23&lt;&gt;入力不可用2, "（エラー）値入力不可", "（正常）規定値"))))</f>
        <v/>
      </c>
      <c r="BL23" s="75" t="str">
        <f>IF(OR($F23 = マスタ!$C$5, F23 = マスタ!$C$8), $F23,
        IF(AND($F23 = マスタ!$C$3, 'その１事業者基本情報_入力シート（一部非公開）'!$U$16), $F23,
             IF(AND($F23 = マスタ!$C$4, 'その１事業者基本情報_入力シート（一部非公開）'!$S$16), $F23,
                  IF(AND(OR($F23 = マスタ!$C$6, $F23 = マスタ!$C$7),
                                'その１事業者基本情報_入力シート（一部非公開）'!$W$16), $F23,
                       IF(OR($F23 = マスタ!$C$3, $F23=マスタ!$C$4), マスタ!$C$5,
                            IF(OR($F23 = マスタ!$C$6, $F23 = マスタ!$C$7), マスタ!$C$8, ""))))))</f>
        <v/>
      </c>
      <c r="BM23" s="75" t="str">
        <f>IF($L23&lt;&gt;"", $L23,
       IF($M23 = マスタ!$B$3,
          IF(OR($F23=マスタ!$C$3,$F23=マスタ!$C$4,$F23=マスタ!$C$5),
            IF(OR($G23 = マスタ!$D$54, $G23 = マスタ!$D$55), 0.75, 0.87),
            IF(OR($G23 = マスタ!$D$54, $G23 = マスタ!$D$55), 0.62, 0.72)),
                 IF(ISBLANK($L23), "", $L23)))</f>
        <v/>
      </c>
      <c r="BN23" s="99" t="str">
        <f>IF($L23&lt;&gt;"", $L23,
        IF($O23 = マスタ!$B$3,
          IF(OR($F23=マスタ!$C$3,$F23=マスタ!$C$4,$F23=マスタ!$C$5), 0.6, 0.5),
             IF(ISBLANK($L23), "", $L23)))</f>
        <v/>
      </c>
      <c r="BO23" s="99" t="str">
        <f>IF($T23&lt;&gt;マスタ!$B$3,
        IF(ISBLANK($S23),"",$S23),
             IF($BL23=マスタ!$C$3,0.8,
             IF($BL23=マスタ!$C$4,0.85,
             IF($BL23=マスタ!$C$6,0.9,
             IF($BL23=マスタ!$C$7,0.9,
             IF($BL23=マスタ!$C$5,1,
             IF($BL23=マスタ!$C$8,1,"無効な入力")))))))</f>
        <v/>
      </c>
      <c r="BP23" s="99" t="str">
        <f>IF($Y23&lt;&gt;マスタ!$B$3,
   IF(ISBLANK($X23), "", $X23),
   IF($BL23=マスタ!$C$3, 0.75,
      IF($BL23=マスタ!$C$4, 0.8,
         IF($BL23=マスタ!$C$6, 0.8,
            IF($BL23=マスタ!$C$7, 0.8,
               IF($BL23=マスタ!$C$5, 0.8,
                  IF($BL23=マスタ!$C$8, 0.8, "無効な入力")))))))</f>
        <v/>
      </c>
      <c r="BQ23" s="75"/>
      <c r="BR23" s="75"/>
      <c r="BS23" s="75"/>
      <c r="BT23" s="75"/>
      <c r="BU23" s="75"/>
      <c r="BV23" s="75"/>
      <c r="BW23" s="75"/>
      <c r="BX23" s="75"/>
      <c r="BY23" s="75"/>
    </row>
    <row r="24" spans="3:77" ht="30.75" customHeight="1">
      <c r="C24" s="69" t="str" cm="1">
        <f t="array" aca="1" ref="C24" ca="1">IF(SUMPRODUCT(--($D24:$AU24 &lt;&gt; "")),RIGHT(YEAR(TODAY()),2)&amp;"01"&amp;REPT("0",4-LEN(ROW()-11))&amp;ROW()-11,"")</f>
        <v/>
      </c>
      <c r="D24" s="141"/>
      <c r="E24" s="142"/>
      <c r="F24" s="71"/>
      <c r="G24" s="66"/>
      <c r="H24" s="41" t="str">
        <f>IFERROR(VLOOKUP(G24,マスタ!$D$3:$E$55,2,FALSE),"")</f>
        <v/>
      </c>
      <c r="I24" s="93"/>
      <c r="J24" s="77"/>
      <c r="K24" s="66"/>
      <c r="L24" s="103"/>
      <c r="M24" s="71"/>
      <c r="N24" s="101" t="str">
        <f>IF($M24 = $BM$9, $BM$9,
        IF($L24 = "", "",
              IF(OR(
                          AND(OR($G24 = マスタ!$D$54, $G24 = マスタ!$D$55), $L24 &lt;= $BP$9),
                          AND($G24 &lt;&gt; マスタ!$D$54, $G24 &lt;&gt; マスタ!$D$55, $L24 &lt;= $BQ$9)
                         ), $BM$9, $BN$9)))</f>
        <v/>
      </c>
      <c r="O24" s="71"/>
      <c r="P24" s="101" t="str">
        <f t="shared" si="1"/>
        <v/>
      </c>
      <c r="Q24" s="124"/>
      <c r="R24" s="124"/>
      <c r="S24" s="112" t="str">
        <f t="shared" si="2"/>
        <v/>
      </c>
      <c r="T24" s="71"/>
      <c r="U24" s="41" t="str">
        <f>IF($T24=$BM$9, $BM$9,
        IF($S24="", "",
             IF(OR(AND($BL24=マスタ!$C$3, $S24&lt;=$BS$9),
                        AND($BL24=マスタ!$C$4, $S24&lt;=$BT$9),
                        AND(OR($BL24=マスタ!$C$6, $BL24=マスタ!$C$7), $S24&lt;=$BU$9),
                        AND(OR($BL24=マスタ!$C$5, $BL24=マスタ!$C$8), $S24&lt;=$BV$9)),
                  $BM$9, $BN$9)))</f>
        <v/>
      </c>
      <c r="V24" s="129" t="str">
        <f>IF($Q24="","",$Q24)</f>
        <v/>
      </c>
      <c r="W24" s="124"/>
      <c r="X24" s="112" t="str">
        <f t="shared" si="4"/>
        <v/>
      </c>
      <c r="Y24" s="71"/>
      <c r="Z24" s="41" t="str">
        <f>IF($Y24=$BM$9, $BM$9,
        IF(AND($T24 = $BM$9, $Y24 = $BO$9), $BN$9,
             IF($BL24=マスタ!$C$3,
                  IF($X24&lt;=$BW$9, $BM$9,$BN$9),
                       IF(OR($BL24=マスタ!$C$4, $BL24=マスタ!$C$5, $BL24=マスタ!$C$6, $BL24=マスタ!$C$7, $BL24=マスタ!$C$8),
                            IF($X24&lt;=$BX$9, $BM$9,$BN$9), ""))))</f>
        <v/>
      </c>
      <c r="AA24" s="71"/>
      <c r="AB24" s="71"/>
      <c r="AC24" s="71"/>
      <c r="AD24" s="165"/>
      <c r="AE24" s="71"/>
      <c r="AF24" s="165"/>
      <c r="AG24" s="92"/>
      <c r="AH24" s="92"/>
      <c r="AI24" s="92"/>
      <c r="AJ24" s="92"/>
      <c r="AK24" s="121"/>
      <c r="AL24" s="121"/>
      <c r="AM24" s="121"/>
      <c r="AN24" s="121"/>
      <c r="AO24" s="92"/>
      <c r="AP24" s="130" t="str">
        <f t="shared" si="5"/>
        <v/>
      </c>
      <c r="AQ24" s="121"/>
      <c r="AR24" s="101" t="str">
        <f>IF(OR(SUMPRODUCT(--(AJ24:AQ24&lt;&gt;""))&lt;7,AND($AJ24=マスタ!$N$3,$AK24="")), "",
        IF($AJ24=マスタ!$N$5, $BO$9,
              IF(OR($F24=マスタ!$C$3, $F24=マスタ!$C$4, $F24=マスタ!$C$5),
                    IF(SUM($AL24,$AM24,$AP24,$AQ24)&gt;=1, $BM$9, $BN$9),
              IF(OR($F24=マスタ!$C$6, $F24=マスタ!$C$7, $F24=マスタ!$C$8),
                    IF($AK24&lt;10, $BO$9,
                          IF(AND(SUM($AL24,$AM24,$AP24,$AQ24)&gt;=($AK24*0.2), $AM24+$AP24+$AQ24&gt;=1),
                               $BM$9,$BN$9))))))</f>
        <v/>
      </c>
      <c r="AS24" s="101" t="str">
        <f>IF(OR(SUMPRODUCT(--(AJ24:AQ24&lt;&gt;""))&lt;7,AND($AJ24=マスタ!$N$3,$AK24="")), "",
     IF($AR24=$BN$9,$BN$9,
        IF($AJ24=マスタ!$N$5, $BO$9,
             IF(OR($F24=マスタ!$C$3, $F24=マスタ!$C$4, $F24=マスタ!$C$5),
                   IF($AQ24&gt;=1, $BM$9, $BN$9),
             IF(OR($F24=マスタ!$C$6, $F24=マスタ!$C$7, $F24=マスタ!$C$8),
                   IF($AK24&lt;5, IF($AQ24&gt;=1, $BM$9, $BN$9),
                         IF(OR($AQ24&gt;=1,
                                    AND(SUM($AL24,$AM24,$AP24,$AQ24)&gt;=$AK24*0.5, ($AM24+$AP24+$AQ24)&gt;=($AK24*0.2))),
                              $BM$9,$BN$9)))))))</f>
        <v/>
      </c>
      <c r="AT24" s="66"/>
      <c r="AU24" s="143"/>
      <c r="AV24" s="98" t="str" cm="1">
        <f t="array" aca="1" ref="AV24" ca="1">IF(AND($F24:$G24&lt;&gt;"", $I24:$K24&lt;&gt;"",
                 IF(OR($M24=$BM$9,$O24=$BM$9), TRUE, $L24&lt;&gt;""),
                 $M24&lt;&gt;"",$O24&lt;&gt;"",
                 IF($T24=$BM$9, TRUE, $Q24:$R24&lt;&gt;""),
                 IF(AND($BL24&lt;&gt;"", $BL24&lt;&gt;マスタ!$C$5, $BL24&lt;&gt;マスタ!$C$8), TRUE, $T24&lt;&gt;""),
                 IF(OR(AND($T24=$BM$9,  $Y24=$BO$9), $Y24=$BM$9), TRUE,$W24&lt;&gt;""),
                 IF(AND($BL24&lt;&gt;"", $BL24&lt;&gt;マスタ!$C$5, $BL24&lt;&gt;マスタ!$C$8), TRUE, $Y24&lt;&gt;""),
                 $AA24&lt;&gt;"",
                 IF($AA24=マスタ!$F$4, TRUE, $AB24&lt;&gt;""),
                 $AG24:$AO24&lt;&gt;"", $AQ24&lt;&gt;"", $AT24&lt;&gt;""),
        "（正常）入力済み", IF($C24= "", "（複数入力）未入力", "（エラー）一部未入力"))</f>
        <v>（複数入力）未入力</v>
      </c>
      <c r="AW24" s="98" t="str">
        <f t="shared" ca="1" si="6"/>
        <v/>
      </c>
      <c r="AX24" s="98" t="str">
        <f t="shared" ca="1" si="7"/>
        <v/>
      </c>
      <c r="AY24" s="98" t="str">
        <f t="shared" ca="1" si="8"/>
        <v/>
      </c>
      <c r="AZ24" s="98" t="str">
        <f t="shared" ca="1" si="9"/>
        <v/>
      </c>
      <c r="BA24" s="98" t="str">
        <f t="shared" ca="1" si="10"/>
        <v/>
      </c>
      <c r="BB24" s="98" t="str">
        <f t="shared" ca="1" si="11"/>
        <v/>
      </c>
      <c r="BC24" s="98" t="str">
        <f t="shared" ca="1" si="12"/>
        <v/>
      </c>
      <c r="BD24" s="98" t="str">
        <f t="shared" ca="1" si="13"/>
        <v/>
      </c>
      <c r="BE24" s="98" t="str">
        <f>IF($BL24="","",
   IF($T24=入力不可用2,
      IF(OR($BL24=マスタ!$C$5,$BL24=マスタ!$C$8), "未入力", "（正常）規定値"),
      IF(OR($BL24=マスタ!$C$5,$BL24=マスタ!$C$8), "（正常）規定値", "（エラー）値入力不可")))</f>
        <v/>
      </c>
      <c r="BF24" s="98" t="str">
        <f ca="1">IF($C24 = "", "",
       IF(AND(OR($BL24=マスタ!$C$5, $BL24=マスタ!$C$8), $T24 = ""), "未入力",
            IF(AND($Y24 = $BM$9, $T24 = $BO$9), "（エラー）「適合」のみ入力可", "（正常）規定値")))</f>
        <v/>
      </c>
      <c r="BG24" s="98" t="str">
        <f t="shared" ca="1" si="14"/>
        <v/>
      </c>
      <c r="BH24" s="98" t="str">
        <f t="shared" ca="1" si="15"/>
        <v/>
      </c>
      <c r="BI24" s="98" t="str">
        <f>IF($BL24="","",
   IF($Y24=入力不可用2,
      IF(OR($BL24=マスタ!$C$5,$BL24=マスタ!$C$8), "未入力", "（正常）規定値"),
      IF(OR($BL24=マスタ!$C$5,$BL24=マスタ!$C$8), "（正常）規定値", "（エラー）値入力不可")))</f>
        <v/>
      </c>
      <c r="BJ24" s="98" t="str">
        <f>IF($AA24="", "",
        IF($AA24=マスタ!$F$3,
             IF($AB24="", "未入力", "（正常）規定値"),
                  IF($AA24=マスタ!$F$4,
                       IF($AB24&lt;&gt;入力不可用2, "（エラー）値入力不可", "（正常）規定値"))))</f>
        <v/>
      </c>
      <c r="BL24" s="75" t="str">
        <f>IF(OR($F24 = マスタ!$C$5, F24 = マスタ!$C$8), $F24,
        IF(AND($F24 = マスタ!$C$3, 'その１事業者基本情報_入力シート（一部非公開）'!$U$16), $F24,
             IF(AND($F24 = マスタ!$C$4, 'その１事業者基本情報_入力シート（一部非公開）'!$S$16), $F24,
                  IF(AND(OR($F24 = マスタ!$C$6, $F24 = マスタ!$C$7),
                                'その１事業者基本情報_入力シート（一部非公開）'!$W$16), $F24,
                       IF(OR($F24 = マスタ!$C$3, $F24=マスタ!$C$4), マスタ!$C$5,
                            IF(OR($F24 = マスタ!$C$6, $F24 = マスタ!$C$7), マスタ!$C$8, ""))))))</f>
        <v/>
      </c>
      <c r="BM24" s="75" t="str">
        <f>IF($L24&lt;&gt;"", $L24,
       IF($M24 = マスタ!$B$3,
          IF(OR($F24=マスタ!$C$3,$F24=マスタ!$C$4,$F24=マスタ!$C$5),
            IF(OR($G24 = マスタ!$D$54, $G24 = マスタ!$D$55), 0.75, 0.87),
            IF(OR($G24 = マスタ!$D$54, $G24 = マスタ!$D$55), 0.62, 0.72)),
                 IF(ISBLANK($L24), "", $L24)))</f>
        <v/>
      </c>
      <c r="BN24" s="99" t="str">
        <f>IF($L24&lt;&gt;"", $L24,
        IF($O24 = マスタ!$B$3,
          IF(OR($F24=マスタ!$C$3,$F24=マスタ!$C$4,$F24=マスタ!$C$5), 0.6, 0.5),
             IF(ISBLANK($L24), "", $L24)))</f>
        <v/>
      </c>
      <c r="BO24" s="99" t="str">
        <f>IF($T24&lt;&gt;マスタ!$B$3,
        IF(ISBLANK($S24),"",$S24),
             IF($BL24=マスタ!$C$3,0.8,
             IF($BL24=マスタ!$C$4,0.85,
             IF($BL24=マスタ!$C$6,0.9,
             IF($BL24=マスタ!$C$7,0.9,
             IF($BL24=マスタ!$C$5,1,
             IF($BL24=マスタ!$C$8,1,"無効な入力")))))))</f>
        <v/>
      </c>
      <c r="BP24" s="99" t="str">
        <f>IF($Y24&lt;&gt;マスタ!$B$3,
   IF(ISBLANK($X24), "", $X24),
   IF($BL24=マスタ!$C$3, 0.75,
      IF($BL24=マスタ!$C$4, 0.8,
         IF($BL24=マスタ!$C$6, 0.8,
            IF($BL24=マスタ!$C$7, 0.8,
               IF($BL24=マスタ!$C$5, 0.8,
                  IF($BL24=マスタ!$C$8, 0.8, "無効な入力")))))))</f>
        <v/>
      </c>
      <c r="BQ24" s="75"/>
      <c r="BR24" s="75"/>
      <c r="BS24" s="75"/>
      <c r="BT24" s="75"/>
      <c r="BU24" s="75"/>
      <c r="BV24" s="75"/>
      <c r="BW24" s="75"/>
      <c r="BX24" s="75"/>
      <c r="BY24" s="75"/>
    </row>
    <row r="25" spans="3:77" ht="30.75" customHeight="1">
      <c r="C25" s="69" t="str" cm="1">
        <f t="array" aca="1" ref="C25" ca="1">IF(SUMPRODUCT(--($D25:$AU25 &lt;&gt; "")),RIGHT(YEAR(TODAY()),2)&amp;"01"&amp;REPT("0",4-LEN(ROW()-11))&amp;ROW()-11,"")</f>
        <v/>
      </c>
      <c r="D25" s="141"/>
      <c r="E25" s="142"/>
      <c r="F25" s="71"/>
      <c r="G25" s="66"/>
      <c r="H25" s="41" t="str">
        <f>IFERROR(VLOOKUP(G25,マスタ!$D$3:$E$55,2,FALSE),"")</f>
        <v/>
      </c>
      <c r="I25" s="93"/>
      <c r="J25" s="77"/>
      <c r="K25" s="66"/>
      <c r="L25" s="103"/>
      <c r="M25" s="71"/>
      <c r="N25" s="101" t="str">
        <f>IF($M25 = $BM$9, $BM$9,
        IF($L25 = "", "",
              IF(OR(
                          AND(OR($G25 = マスタ!$D$54, $G25 = マスタ!$D$55), $L25 &lt;= $BP$9),
                          AND($G25 &lt;&gt; マスタ!$D$54, $G25 &lt;&gt; マスタ!$D$55, $L25 &lt;= $BQ$9)
                         ), $BM$9, $BN$9)))</f>
        <v/>
      </c>
      <c r="O25" s="71"/>
      <c r="P25" s="101" t="str">
        <f t="shared" si="1"/>
        <v/>
      </c>
      <c r="Q25" s="124"/>
      <c r="R25" s="124"/>
      <c r="S25" s="112" t="str">
        <f t="shared" si="2"/>
        <v/>
      </c>
      <c r="T25" s="71"/>
      <c r="U25" s="41" t="str">
        <f>IF($T25=$BM$9, $BM$9,
        IF($S25="", "",
             IF(OR(AND($BL25=マスタ!$C$3, $S25&lt;=$BS$9),
                        AND($BL25=マスタ!$C$4, $S25&lt;=$BT$9),
                        AND(OR($BL25=マスタ!$C$6, $BL25=マスタ!$C$7), $S25&lt;=$BU$9),
                        AND(OR($BL25=マスタ!$C$5, $BL25=マスタ!$C$8), $S25&lt;=$BV$9)),
                  $BM$9, $BN$9)))</f>
        <v/>
      </c>
      <c r="V25" s="129" t="str">
        <f t="shared" ref="V25:V116" si="16">IF($Q25="","",$Q25)</f>
        <v/>
      </c>
      <c r="W25" s="124"/>
      <c r="X25" s="112" t="str">
        <f t="shared" si="4"/>
        <v/>
      </c>
      <c r="Y25" s="71"/>
      <c r="Z25" s="41" t="str">
        <f>IF($Y25=$BM$9, $BM$9,
        IF(AND($T25 = $BM$9, $Y25 = $BO$9), $BN$9,
             IF($BL25=マスタ!$C$3,
                  IF($X25&lt;=$BW$9, $BM$9,$BN$9),
                       IF(OR($BL25=マスタ!$C$4, $BL25=マスタ!$C$5, $BL25=マスタ!$C$6, $BL25=マスタ!$C$7, $BL25=マスタ!$C$8),
                            IF($X25&lt;=$BX$9, $BM$9,$BN$9), ""))))</f>
        <v/>
      </c>
      <c r="AA25" s="71"/>
      <c r="AB25" s="71"/>
      <c r="AC25" s="71"/>
      <c r="AD25" s="165"/>
      <c r="AE25" s="71"/>
      <c r="AF25" s="165"/>
      <c r="AG25" s="92"/>
      <c r="AH25" s="92"/>
      <c r="AI25" s="92"/>
      <c r="AJ25" s="92"/>
      <c r="AK25" s="121"/>
      <c r="AL25" s="121"/>
      <c r="AM25" s="121"/>
      <c r="AN25" s="121"/>
      <c r="AO25" s="92"/>
      <c r="AP25" s="130" t="str">
        <f t="shared" si="5"/>
        <v/>
      </c>
      <c r="AQ25" s="121"/>
      <c r="AR25" s="101" t="str">
        <f>IF(OR(SUMPRODUCT(--(AJ25:AQ25&lt;&gt;""))&lt;7,AND($AJ25=マスタ!$N$3,$AK25="")), "",
        IF($AJ25=マスタ!$N$5, $BO$9,
              IF(OR($F25=マスタ!$C$3, $F25=マスタ!$C$4, $F25=マスタ!$C$5),
                    IF(SUM($AL25,$AM25,$AP25,$AQ25)&gt;=1, $BM$9, $BN$9),
              IF(OR($F25=マスタ!$C$6, $F25=マスタ!$C$7, $F25=マスタ!$C$8),
                    IF($AK25&lt;10, $BO$9,
                          IF(AND(SUM($AL25,$AM25,$AP25,$AQ25)&gt;=($AK25*0.2), $AM25+$AP25+$AQ25&gt;=1),
                               $BM$9,$BN$9))))))</f>
        <v/>
      </c>
      <c r="AS25" s="101" t="str">
        <f>IF(OR(SUMPRODUCT(--(AJ25:AQ25&lt;&gt;""))&lt;7,AND($AJ25=マスタ!$N$3,$AK25="")), "",
     IF($AR25=$BN$9,$BN$9,
        IF($AJ25=マスタ!$N$5, $BO$9,
             IF(OR($F25=マスタ!$C$3, $F25=マスタ!$C$4, $F25=マスタ!$C$5),
                   IF($AQ25&gt;=1, $BM$9, $BN$9),
             IF(OR($F25=マスタ!$C$6, $F25=マスタ!$C$7, $F25=マスタ!$C$8),
                   IF($AK25&lt;5, IF($AQ25&gt;=1, $BM$9, $BN$9),
                         IF(OR($AQ25&gt;=1,
                                    AND(SUM($AL25,$AM25,$AP25,$AQ25)&gt;=$AK25*0.5, ($AM25+$AP25+$AQ25)&gt;=($AK25*0.2))),
                              $BM$9,$BN$9)))))))</f>
        <v/>
      </c>
      <c r="AT25" s="66"/>
      <c r="AU25" s="143"/>
      <c r="AV25" s="98" t="str" cm="1">
        <f t="array" aca="1" ref="AV25" ca="1">IF(AND($F25:$G25&lt;&gt;"", $I25:$K25&lt;&gt;"",
                 IF(OR($M25=$BM$9,$O25=$BM$9), TRUE, $L25&lt;&gt;""),
                 $M25&lt;&gt;"",$O25&lt;&gt;"",
                 IF($T25=$BM$9, TRUE, $Q25:$R25&lt;&gt;""),
                 IF(AND($BL25&lt;&gt;"", $BL25&lt;&gt;マスタ!$C$5, $BL25&lt;&gt;マスタ!$C$8), TRUE, $T25&lt;&gt;""),
                 IF(OR(AND($T25=$BM$9,  $Y25=$BO$9), $Y25=$BM$9), TRUE,$W25&lt;&gt;""),
                 IF(AND($BL25&lt;&gt;"", $BL25&lt;&gt;マスタ!$C$5, $BL25&lt;&gt;マスタ!$C$8), TRUE, $Y25&lt;&gt;""),
                 $AA25&lt;&gt;"",
                 IF($AA25=マスタ!$F$4, TRUE, $AB25&lt;&gt;""),
                 $AG25:$AO25&lt;&gt;"", $AQ25&lt;&gt;"", $AT25&lt;&gt;""),
        "（正常）入力済み", IF($C25= "", "（複数入力）未入力", "（エラー）一部未入力"))</f>
        <v>（複数入力）未入力</v>
      </c>
      <c r="AW25" s="98" t="str">
        <f t="shared" ca="1" si="6"/>
        <v/>
      </c>
      <c r="AX25" s="98" t="str">
        <f t="shared" ca="1" si="7"/>
        <v/>
      </c>
      <c r="AY25" s="98" t="str">
        <f t="shared" ca="1" si="8"/>
        <v/>
      </c>
      <c r="AZ25" s="98" t="str">
        <f t="shared" ca="1" si="9"/>
        <v/>
      </c>
      <c r="BA25" s="98" t="str">
        <f t="shared" ca="1" si="10"/>
        <v/>
      </c>
      <c r="BB25" s="98" t="str">
        <f t="shared" ca="1" si="11"/>
        <v/>
      </c>
      <c r="BC25" s="98" t="str">
        <f t="shared" ca="1" si="12"/>
        <v/>
      </c>
      <c r="BD25" s="98" t="str">
        <f t="shared" ca="1" si="13"/>
        <v/>
      </c>
      <c r="BE25" s="98" t="str">
        <f>IF($BL25="","",
   IF($T25=入力不可用2,
      IF(OR($BL25=マスタ!$C$5,$BL25=マスタ!$C$8), "未入力", "（正常）規定値"),
      IF(OR($BL25=マスタ!$C$5,$BL25=マスタ!$C$8), "（正常）規定値", "（エラー）値入力不可")))</f>
        <v/>
      </c>
      <c r="BF25" s="98" t="str">
        <f ca="1">IF($C25 = "", "",
       IF(AND(OR($BL25=マスタ!$C$5, $BL25=マスタ!$C$8), $T25 = ""), "未入力",
            IF(AND($Y25 = $BM$9, $T25 = $BO$9), "（エラー）「適合」のみ入力可", "（正常）規定値")))</f>
        <v/>
      </c>
      <c r="BG25" s="98" t="str">
        <f t="shared" ca="1" si="14"/>
        <v/>
      </c>
      <c r="BH25" s="98" t="str">
        <f t="shared" ca="1" si="15"/>
        <v/>
      </c>
      <c r="BI25" s="98" t="str">
        <f>IF($BL25="","",
   IF($Y25=入力不可用2,
      IF(OR($BL25=マスタ!$C$5,$BL25=マスタ!$C$8), "未入力", "（正常）規定値"),
      IF(OR($BL25=マスタ!$C$5,$BL25=マスタ!$C$8), "（正常）規定値", "（エラー）値入力不可")))</f>
        <v/>
      </c>
      <c r="BJ25" s="98" t="str">
        <f>IF($AA25="", "",
        IF($AA25=マスタ!$F$3,
             IF($AB25="", "未入力", "（正常）規定値"),
                  IF($AA25=マスタ!$F$4,
                       IF($AB25&lt;&gt;入力不可用2, "（エラー）値入力不可", "（正常）規定値"))))</f>
        <v/>
      </c>
      <c r="BL25" s="75" t="str">
        <f>IF(OR($F25 = マスタ!$C$5, F25 = マスタ!$C$8), $F25,
        IF(AND($F25 = マスタ!$C$3, 'その１事業者基本情報_入力シート（一部非公開）'!$U$16), $F25,
             IF(AND($F25 = マスタ!$C$4, 'その１事業者基本情報_入力シート（一部非公開）'!$S$16), $F25,
                  IF(AND(OR($F25 = マスタ!$C$6, $F25 = マスタ!$C$7),
                                'その１事業者基本情報_入力シート（一部非公開）'!$W$16), $F25,
                       IF(OR($F25 = マスタ!$C$3, $F25=マスタ!$C$4), マスタ!$C$5,
                            IF(OR($F25 = マスタ!$C$6, $F25 = マスタ!$C$7), マスタ!$C$8, ""))))))</f>
        <v/>
      </c>
      <c r="BM25" s="75" t="str">
        <f>IF($L25&lt;&gt;"", $L25,
       IF($M25 = マスタ!$B$3,
          IF(OR($F25=マスタ!$C$3,$F25=マスタ!$C$4,$F25=マスタ!$C$5),
            IF(OR($G25 = マスタ!$D$54, $G25 = マスタ!$D$55), 0.75, 0.87),
            IF(OR($G25 = マスタ!$D$54, $G25 = マスタ!$D$55), 0.62, 0.72)),
                 IF(ISBLANK($L25), "", $L25)))</f>
        <v/>
      </c>
      <c r="BN25" s="99" t="str">
        <f>IF($L25&lt;&gt;"", $L25,
        IF($O25 = マスタ!$B$3,
          IF(OR($F25=マスタ!$C$3,$F25=マスタ!$C$4,$F25=マスタ!$C$5), 0.6, 0.5),
             IF(ISBLANK($L25), "", $L25)))</f>
        <v/>
      </c>
      <c r="BO25" s="99" t="str">
        <f>IF($T25&lt;&gt;マスタ!$B$3,
        IF(ISBLANK($S25),"",$S25),
             IF($BL25=マスタ!$C$3,0.8,
             IF($BL25=マスタ!$C$4,0.85,
             IF($BL25=マスタ!$C$6,0.9,
             IF($BL25=マスタ!$C$7,0.9,
             IF($BL25=マスタ!$C$5,1,
             IF($BL25=マスタ!$C$8,1,"無効な入力")))))))</f>
        <v/>
      </c>
      <c r="BP25" s="99" t="str">
        <f>IF($Y25&lt;&gt;マスタ!$B$3,
   IF(ISBLANK($X25), "", $X25),
   IF($BL25=マスタ!$C$3, 0.75,
      IF($BL25=マスタ!$C$4, 0.8,
         IF($BL25=マスタ!$C$6, 0.8,
            IF($BL25=マスタ!$C$7, 0.8,
               IF($BL25=マスタ!$C$5, 0.8,
                  IF($BL25=マスタ!$C$8, 0.8, "無効な入力")))))))</f>
        <v/>
      </c>
      <c r="BQ25" s="75"/>
      <c r="BR25" s="75"/>
      <c r="BS25" s="75"/>
      <c r="BT25" s="75"/>
      <c r="BU25" s="75"/>
      <c r="BV25" s="75"/>
      <c r="BW25" s="75"/>
      <c r="BX25" s="75"/>
      <c r="BY25" s="75"/>
    </row>
    <row r="26" spans="3:77" ht="30.75" customHeight="1">
      <c r="C26" s="69" t="str" cm="1">
        <f t="array" aca="1" ref="C26" ca="1">IF(SUMPRODUCT(--($D26:$AU26 &lt;&gt; "")),RIGHT(YEAR(TODAY()),2)&amp;"01"&amp;REPT("0",4-LEN(ROW()-11))&amp;ROW()-11,"")</f>
        <v/>
      </c>
      <c r="D26" s="141"/>
      <c r="E26" s="142"/>
      <c r="F26" s="71"/>
      <c r="G26" s="66"/>
      <c r="H26" s="41" t="str">
        <f>IFERROR(VLOOKUP(G26,マスタ!$D$3:$E$55,2,FALSE),"")</f>
        <v/>
      </c>
      <c r="I26" s="93"/>
      <c r="J26" s="77"/>
      <c r="K26" s="66"/>
      <c r="L26" s="103"/>
      <c r="M26" s="71"/>
      <c r="N26" s="101" t="str">
        <f>IF($M26 = $BM$9, $BM$9,
        IF($L26 = "", "",
              IF(OR(
                          AND(OR($G26 = マスタ!$D$54, $G26 = マスタ!$D$55), $L26 &lt;= $BP$9),
                          AND($G26 &lt;&gt; マスタ!$D$54, $G26 &lt;&gt; マスタ!$D$55, $L26 &lt;= $BQ$9)
                         ), $BM$9, $BN$9)))</f>
        <v/>
      </c>
      <c r="O26" s="71"/>
      <c r="P26" s="101" t="str">
        <f t="shared" si="1"/>
        <v/>
      </c>
      <c r="Q26" s="124"/>
      <c r="R26" s="124"/>
      <c r="S26" s="112" t="str">
        <f t="shared" ref="S26:S40" si="17">IF(AND($Q26&lt;&gt;"",$Q26&lt;&gt;0, R26&lt;&gt;""), ROUNDUP(R26/Q26, 2), "")</f>
        <v/>
      </c>
      <c r="T26" s="71"/>
      <c r="U26" s="41" t="str">
        <f>IF($T26=$BM$9, $BM$9,
        IF($S26="", "",
             IF(OR(AND($BL26=マスタ!$C$3, $S26&lt;=$BS$9),
                        AND($BL26=マスタ!$C$4, $S26&lt;=$BT$9),
                        AND(OR($BL26=マスタ!$C$6, $BL26=マスタ!$C$7), $S26&lt;=$BU$9),
                        AND(OR($BL26=マスタ!$C$5, $BL26=マスタ!$C$8), $S26&lt;=$BV$9)),
                  $BM$9, $BN$9)))</f>
        <v/>
      </c>
      <c r="V26" s="129" t="str">
        <f t="shared" si="16"/>
        <v/>
      </c>
      <c r="W26" s="124"/>
      <c r="X26" s="112" t="str">
        <f t="shared" ref="X26:X40" si="18">IF(AND($W26&lt;&gt;"",$V26&lt;&gt;0, V26&lt;&gt;""), ROUNDUP(W26/V26,2), "")</f>
        <v/>
      </c>
      <c r="Y26" s="71"/>
      <c r="Z26" s="41" t="str">
        <f>IF($Y26=$BM$9, $BM$9,
        IF(AND($T26 = $BM$9, $Y26 = $BO$9), $BN$9,
             IF($BL26=マスタ!$C$3,
                  IF($X26&lt;=$BW$9, $BM$9,$BN$9),
                       IF(OR($BL26=マスタ!$C$4, $BL26=マスタ!$C$5, $BL26=マスタ!$C$6, $BL26=マスタ!$C$7, $BL26=マスタ!$C$8),
                            IF($X26&lt;=$BX$9, $BM$9,$BN$9), ""))))</f>
        <v/>
      </c>
      <c r="AA26" s="71"/>
      <c r="AB26" s="71"/>
      <c r="AC26" s="71"/>
      <c r="AD26" s="165"/>
      <c r="AE26" s="71"/>
      <c r="AF26" s="165"/>
      <c r="AG26" s="92"/>
      <c r="AH26" s="92"/>
      <c r="AI26" s="92"/>
      <c r="AJ26" s="92"/>
      <c r="AK26" s="121"/>
      <c r="AL26" s="121"/>
      <c r="AM26" s="121"/>
      <c r="AN26" s="121"/>
      <c r="AO26" s="92"/>
      <c r="AP26" s="130" t="str">
        <f t="shared" si="5"/>
        <v/>
      </c>
      <c r="AQ26" s="121"/>
      <c r="AR26" s="101" t="str">
        <f>IF(OR(SUMPRODUCT(--(AJ26:AQ26&lt;&gt;""))&lt;7,AND($AJ26=マスタ!$N$3,$AK26="")), "",
        IF($AJ26=マスタ!$N$5, $BO$9,
              IF(OR($F26=マスタ!$C$3, $F26=マスタ!$C$4, $F26=マスタ!$C$5),
                    IF(SUM($AL26,$AM26,$AP26,$AQ26)&gt;=1, $BM$9, $BN$9),
              IF(OR($F26=マスタ!$C$6, $F26=マスタ!$C$7, $F26=マスタ!$C$8),
                    IF($AK26&lt;10, $BO$9,
                          IF(AND(SUM($AL26,$AM26,$AP26,$AQ26)&gt;=($AK26*0.2), $AM26+$AP26+$AQ26&gt;=1),
                               $BM$9,$BN$9))))))</f>
        <v/>
      </c>
      <c r="AS26" s="101" t="str">
        <f>IF(OR(SUMPRODUCT(--(AJ26:AQ26&lt;&gt;""))&lt;7,AND($AJ26=マスタ!$N$3,$AK26="")), "",
     IF($AR26=$BN$9,$BN$9,
        IF($AJ26=マスタ!$N$5, $BO$9,
             IF(OR($F26=マスタ!$C$3, $F26=マスタ!$C$4, $F26=マスタ!$C$5),
                   IF($AQ26&gt;=1, $BM$9, $BN$9),
             IF(OR($F26=マスタ!$C$6, $F26=マスタ!$C$7, $F26=マスタ!$C$8),
                   IF($AK26&lt;5, IF($AQ26&gt;=1, $BM$9, $BN$9),
                         IF(OR($AQ26&gt;=1,
                                    AND(SUM($AL26,$AM26,$AP26,$AQ26)&gt;=$AK26*0.5, ($AM26+$AP26+$AQ26)&gt;=($AK26*0.2))),
                              $BM$9,$BN$9)))))))</f>
        <v/>
      </c>
      <c r="AT26" s="66"/>
      <c r="AU26" s="143"/>
      <c r="AV26" s="98" t="str" cm="1">
        <f t="array" aca="1" ref="AV26" ca="1">IF(AND($F26:$G26&lt;&gt;"", $I26:$K26&lt;&gt;"",
                 IF(OR($M26=$BM$9,$O26=$BM$9), TRUE, $L26&lt;&gt;""),
                 $M26&lt;&gt;"",$O26&lt;&gt;"",
                 IF($T26=$BM$9, TRUE, $Q26:$R26&lt;&gt;""),
                 IF(AND($BL26&lt;&gt;"", $BL26&lt;&gt;マスタ!$C$5, $BL26&lt;&gt;マスタ!$C$8), TRUE, $T26&lt;&gt;""),
                 IF(OR(AND($T26=$BM$9,  $Y26=$BO$9), $Y26=$BM$9), TRUE,$W26&lt;&gt;""),
                 IF(AND($BL26&lt;&gt;"", $BL26&lt;&gt;マスタ!$C$5, $BL26&lt;&gt;マスタ!$C$8), TRUE, $Y26&lt;&gt;""),
                 $AA26&lt;&gt;"",
                 IF($AA26=マスタ!$F$4, TRUE, $AB26&lt;&gt;""),
                 $AG26:$AO26&lt;&gt;"", $AQ26&lt;&gt;"", $AT26&lt;&gt;""),
        "（正常）入力済み", IF($C26= "", "（複数入力）未入力", "（エラー）一部未入力"))</f>
        <v>（複数入力）未入力</v>
      </c>
      <c r="AW26" s="98" t="str">
        <f t="shared" ca="1" si="6"/>
        <v/>
      </c>
      <c r="AX26" s="98" t="str">
        <f t="shared" ca="1" si="7"/>
        <v/>
      </c>
      <c r="AY26" s="98" t="str">
        <f t="shared" ca="1" si="8"/>
        <v/>
      </c>
      <c r="AZ26" s="98" t="str">
        <f t="shared" ca="1" si="9"/>
        <v/>
      </c>
      <c r="BA26" s="98" t="str">
        <f t="shared" ca="1" si="10"/>
        <v/>
      </c>
      <c r="BB26" s="98" t="str">
        <f t="shared" ca="1" si="11"/>
        <v/>
      </c>
      <c r="BC26" s="98" t="str">
        <f t="shared" ca="1" si="12"/>
        <v/>
      </c>
      <c r="BD26" s="98" t="str">
        <f t="shared" ca="1" si="13"/>
        <v/>
      </c>
      <c r="BE26" s="98" t="str">
        <f>IF($BL26="","",
   IF($T26=入力不可用2,
      IF(OR($BL26=マスタ!$C$5,$BL26=マスタ!$C$8), "未入力", "（正常）規定値"),
      IF(OR($BL26=マスタ!$C$5,$BL26=マスタ!$C$8), "（正常）規定値", "（エラー）値入力不可")))</f>
        <v/>
      </c>
      <c r="BF26" s="98" t="str">
        <f ca="1">IF($C26 = "", "",
       IF(AND(OR($BL26=マスタ!$C$5, $BL26=マスタ!$C$8), $T26 = ""), "未入力",
            IF(AND($Y26 = $BM$9, $T26 = $BO$9), "（エラー）「適合」のみ入力可", "（正常）規定値")))</f>
        <v/>
      </c>
      <c r="BG26" s="98" t="str">
        <f t="shared" ca="1" si="14"/>
        <v/>
      </c>
      <c r="BH26" s="98" t="str">
        <f t="shared" ca="1" si="15"/>
        <v/>
      </c>
      <c r="BI26" s="98" t="str">
        <f>IF($BL26="","",
   IF($Y26=入力不可用2,
      IF(OR($BL26=マスタ!$C$5,$BL26=マスタ!$C$8), "未入力", "（正常）規定値"),
      IF(OR($BL26=マスタ!$C$5,$BL26=マスタ!$C$8), "（正常）規定値", "（エラー）値入力不可")))</f>
        <v/>
      </c>
      <c r="BJ26" s="98" t="str">
        <f>IF($AA26="", "",
        IF($AA26=マスタ!$F$3,
             IF($AB26="", "未入力", "（正常）規定値"),
                  IF($AA26=マスタ!$F$4,
                       IF($AB26&lt;&gt;入力不可用2, "（エラー）値入力不可", "（正常）規定値"))))</f>
        <v/>
      </c>
      <c r="BL26" s="75" t="str">
        <f>IF(OR($F26 = マスタ!$C$5, F26 = マスタ!$C$8), $F26,
        IF(AND($F26 = マスタ!$C$3, 'その１事業者基本情報_入力シート（一部非公開）'!$U$16), $F26,
             IF(AND($F26 = マスタ!$C$4, 'その１事業者基本情報_入力シート（一部非公開）'!$S$16), $F26,
                  IF(AND(OR($F26 = マスタ!$C$6, $F26 = マスタ!$C$7),
                                'その１事業者基本情報_入力シート（一部非公開）'!$W$16), $F26,
                       IF(OR($F26 = マスタ!$C$3, $F26=マスタ!$C$4), マスタ!$C$5,
                            IF(OR($F26 = マスタ!$C$6, $F26 = マスタ!$C$7), マスタ!$C$8, ""))))))</f>
        <v/>
      </c>
      <c r="BM26" s="75" t="str">
        <f>IF($L26&lt;&gt;"", $L26,
       IF($M26 = マスタ!$B$3,
          IF(OR($F26=マスタ!$C$3,$F26=マスタ!$C$4,$F26=マスタ!$C$5),
            IF(OR($G26 = マスタ!$D$54, $G26 = マスタ!$D$55), 0.75, 0.87),
            IF(OR($G26 = マスタ!$D$54, $G26 = マスタ!$D$55), 0.62, 0.72)),
                 IF(ISBLANK($L26), "", $L26)))</f>
        <v/>
      </c>
      <c r="BN26" s="99" t="str">
        <f>IF($L26&lt;&gt;"", $L26,
        IF($O26 = マスタ!$B$3,
          IF(OR($F26=マスタ!$C$3,$F26=マスタ!$C$4,$F26=マスタ!$C$5), 0.6, 0.5),
             IF(ISBLANK($L26), "", $L26)))</f>
        <v/>
      </c>
      <c r="BO26" s="99" t="str">
        <f>IF($T26&lt;&gt;マスタ!$B$3,
        IF(ISBLANK($S26),"",$S26),
             IF($BL26=マスタ!$C$3,0.8,
             IF($BL26=マスタ!$C$4,0.85,
             IF($BL26=マスタ!$C$6,0.9,
             IF($BL26=マスタ!$C$7,0.9,
             IF($BL26=マスタ!$C$5,1,
             IF($BL26=マスタ!$C$8,1,"無効な入力")))))))</f>
        <v/>
      </c>
      <c r="BP26" s="99" t="str">
        <f>IF($Y26&lt;&gt;マスタ!$B$3,
   IF(ISBLANK($X26), "", $X26),
   IF($BL26=マスタ!$C$3, 0.75,
      IF($BL26=マスタ!$C$4, 0.8,
         IF($BL26=マスタ!$C$6, 0.8,
            IF($BL26=マスタ!$C$7, 0.8,
               IF($BL26=マスタ!$C$5, 0.8,
                  IF($BL26=マスタ!$C$8, 0.8, "無効な入力")))))))</f>
        <v/>
      </c>
      <c r="BQ26" s="75"/>
      <c r="BR26" s="75"/>
      <c r="BS26" s="75"/>
      <c r="BT26" s="75"/>
      <c r="BU26" s="75"/>
      <c r="BV26" s="75"/>
      <c r="BW26" s="75"/>
      <c r="BX26" s="75"/>
      <c r="BY26" s="75"/>
    </row>
    <row r="27" spans="3:77" ht="30.75" customHeight="1">
      <c r="C27" s="69" t="str" cm="1">
        <f t="array" aca="1" ref="C27" ca="1">IF(SUMPRODUCT(--($D27:$AU27 &lt;&gt; "")),RIGHT(YEAR(TODAY()),2)&amp;"01"&amp;REPT("0",4-LEN(ROW()-11))&amp;ROW()-11,"")</f>
        <v/>
      </c>
      <c r="D27" s="141"/>
      <c r="E27" s="142"/>
      <c r="F27" s="71"/>
      <c r="G27" s="66"/>
      <c r="H27" s="41" t="str">
        <f>IFERROR(VLOOKUP(G27,マスタ!$D$3:$E$55,2,FALSE),"")</f>
        <v/>
      </c>
      <c r="I27" s="93"/>
      <c r="J27" s="77"/>
      <c r="K27" s="66"/>
      <c r="L27" s="103"/>
      <c r="M27" s="71"/>
      <c r="N27" s="101" t="str">
        <f>IF($M27 = $BM$9, $BM$9,
        IF($L27 = "", "",
              IF(OR(
                          AND(OR($G27 = マスタ!$D$54, $G27 = マスタ!$D$55), $L27 &lt;= $BP$9),
                          AND($G27 &lt;&gt; マスタ!$D$54, $G27 &lt;&gt; マスタ!$D$55, $L27 &lt;= $BQ$9)
                         ), $BM$9, $BN$9)))</f>
        <v/>
      </c>
      <c r="O27" s="71"/>
      <c r="P27" s="101" t="str">
        <f t="shared" si="1"/>
        <v/>
      </c>
      <c r="Q27" s="124"/>
      <c r="R27" s="124"/>
      <c r="S27" s="112" t="str">
        <f t="shared" si="17"/>
        <v/>
      </c>
      <c r="T27" s="71"/>
      <c r="U27" s="41" t="str">
        <f>IF($T27=$BM$9, $BM$9,
        IF($S27="", "",
             IF(OR(AND($BL27=マスタ!$C$3, $S27&lt;=$BS$9),
                        AND($BL27=マスタ!$C$4, $S27&lt;=$BT$9),
                        AND(OR($BL27=マスタ!$C$6, $BL27=マスタ!$C$7), $S27&lt;=$BU$9),
                        AND(OR($BL27=マスタ!$C$5, $BL27=マスタ!$C$8), $S27&lt;=$BV$9)),
                  $BM$9, $BN$9)))</f>
        <v/>
      </c>
      <c r="V27" s="129" t="str">
        <f t="shared" si="16"/>
        <v/>
      </c>
      <c r="W27" s="124"/>
      <c r="X27" s="112" t="str">
        <f t="shared" si="18"/>
        <v/>
      </c>
      <c r="Y27" s="71"/>
      <c r="Z27" s="41" t="str">
        <f>IF($Y27=$BM$9, $BM$9,
        IF(AND($T27 = $BM$9, $Y27 = $BO$9), $BN$9,
             IF($BL27=マスタ!$C$3,
                  IF($X27&lt;=$BW$9, $BM$9,$BN$9),
                       IF(OR($BL27=マスタ!$C$4, $BL27=マスタ!$C$5, $BL27=マスタ!$C$6, $BL27=マスタ!$C$7, $BL27=マスタ!$C$8),
                            IF($X27&lt;=$BX$9, $BM$9,$BN$9), ""))))</f>
        <v/>
      </c>
      <c r="AA27" s="71"/>
      <c r="AB27" s="71"/>
      <c r="AC27" s="71"/>
      <c r="AD27" s="165"/>
      <c r="AE27" s="71"/>
      <c r="AF27" s="165"/>
      <c r="AG27" s="92"/>
      <c r="AH27" s="92"/>
      <c r="AI27" s="92"/>
      <c r="AJ27" s="92"/>
      <c r="AK27" s="121"/>
      <c r="AL27" s="121"/>
      <c r="AM27" s="121"/>
      <c r="AN27" s="121"/>
      <c r="AO27" s="92"/>
      <c r="AP27" s="130" t="str">
        <f t="shared" si="5"/>
        <v/>
      </c>
      <c r="AQ27" s="121"/>
      <c r="AR27" s="101" t="str">
        <f>IF(OR(SUMPRODUCT(--(AJ27:AQ27&lt;&gt;""))&lt;7,AND($AJ27=マスタ!$N$3,$AK27="")), "",
        IF($AJ27=マスタ!$N$5, $BO$9,
              IF(OR($F27=マスタ!$C$3, $F27=マスタ!$C$4, $F27=マスタ!$C$5),
                    IF(SUM($AL27,$AM27,$AP27,$AQ27)&gt;=1, $BM$9, $BN$9),
              IF(OR($F27=マスタ!$C$6, $F27=マスタ!$C$7, $F27=マスタ!$C$8),
                    IF($AK27&lt;10, $BO$9,
                          IF(AND(SUM($AL27,$AM27,$AP27,$AQ27)&gt;=($AK27*0.2), $AM27+$AP27+$AQ27&gt;=1),
                               $BM$9,$BN$9))))))</f>
        <v/>
      </c>
      <c r="AS27" s="101" t="str">
        <f>IF(OR(SUMPRODUCT(--(AJ27:AQ27&lt;&gt;""))&lt;7,AND($AJ27=マスタ!$N$3,$AK27="")), "",
     IF($AR27=$BN$9,$BN$9,
        IF($AJ27=マスタ!$N$5, $BO$9,
             IF(OR($F27=マスタ!$C$3, $F27=マスタ!$C$4, $F27=マスタ!$C$5),
                   IF($AQ27&gt;=1, $BM$9, $BN$9),
             IF(OR($F27=マスタ!$C$6, $F27=マスタ!$C$7, $F27=マスタ!$C$8),
                   IF($AK27&lt;5, IF($AQ27&gt;=1, $BM$9, $BN$9),
                         IF(OR($AQ27&gt;=1,
                                    AND(SUM($AL27,$AM27,$AP27,$AQ27)&gt;=$AK27*0.5, ($AM27+$AP27+$AQ27)&gt;=($AK27*0.2))),
                              $BM$9,$BN$9)))))))</f>
        <v/>
      </c>
      <c r="AT27" s="66"/>
      <c r="AU27" s="143"/>
      <c r="AV27" s="98" t="str" cm="1">
        <f t="array" aca="1" ref="AV27" ca="1">IF(AND($F27:$G27&lt;&gt;"", $I27:$K27&lt;&gt;"",
                 IF(OR($M27=$BM$9,$O27=$BM$9), TRUE, $L27&lt;&gt;""),
                 $M27&lt;&gt;"",$O27&lt;&gt;"",
                 IF($T27=$BM$9, TRUE, $Q27:$R27&lt;&gt;""),
                 IF(AND($BL27&lt;&gt;"", $BL27&lt;&gt;マスタ!$C$5, $BL27&lt;&gt;マスタ!$C$8), TRUE, $T27&lt;&gt;""),
                 IF(OR(AND($T27=$BM$9,  $Y27=$BO$9), $Y27=$BM$9), TRUE,$W27&lt;&gt;""),
                 IF(AND($BL27&lt;&gt;"", $BL27&lt;&gt;マスタ!$C$5, $BL27&lt;&gt;マスタ!$C$8), TRUE, $Y27&lt;&gt;""),
                 $AA27&lt;&gt;"",
                 IF($AA27=マスタ!$F$4, TRUE, $AB27&lt;&gt;""),
                 $AG27:$AO27&lt;&gt;"", $AQ27&lt;&gt;"", $AT27&lt;&gt;""),
        "（正常）入力済み", IF($C27= "", "（複数入力）未入力", "（エラー）一部未入力"))</f>
        <v>（複数入力）未入力</v>
      </c>
      <c r="AW27" s="98" t="str">
        <f t="shared" ca="1" si="6"/>
        <v/>
      </c>
      <c r="AX27" s="98" t="str">
        <f t="shared" ca="1" si="7"/>
        <v/>
      </c>
      <c r="AY27" s="98" t="str">
        <f t="shared" ca="1" si="8"/>
        <v/>
      </c>
      <c r="AZ27" s="98" t="str">
        <f t="shared" ca="1" si="9"/>
        <v/>
      </c>
      <c r="BA27" s="98" t="str">
        <f t="shared" ca="1" si="10"/>
        <v/>
      </c>
      <c r="BB27" s="98" t="str">
        <f t="shared" ca="1" si="11"/>
        <v/>
      </c>
      <c r="BC27" s="98" t="str">
        <f t="shared" ca="1" si="12"/>
        <v/>
      </c>
      <c r="BD27" s="98" t="str">
        <f t="shared" ca="1" si="13"/>
        <v/>
      </c>
      <c r="BE27" s="98" t="str">
        <f>IF($BL27="","",
   IF($T27=入力不可用2,
      IF(OR($BL27=マスタ!$C$5,$BL27=マスタ!$C$8), "未入力", "（正常）規定値"),
      IF(OR($BL27=マスタ!$C$5,$BL27=マスタ!$C$8), "（正常）規定値", "（エラー）値入力不可")))</f>
        <v/>
      </c>
      <c r="BF27" s="98" t="str">
        <f ca="1">IF($C27 = "", "",
       IF(AND(OR($BL27=マスタ!$C$5, $BL27=マスタ!$C$8), $T27 = ""), "未入力",
            IF(AND($Y27 = $BM$9, $T27 = $BO$9), "（エラー）「適合」のみ入力可", "（正常）規定値")))</f>
        <v/>
      </c>
      <c r="BG27" s="98" t="str">
        <f t="shared" ca="1" si="14"/>
        <v/>
      </c>
      <c r="BH27" s="98" t="str">
        <f t="shared" ca="1" si="15"/>
        <v/>
      </c>
      <c r="BI27" s="98" t="str">
        <f>IF($BL27="","",
   IF($Y27=入力不可用2,
      IF(OR($BL27=マスタ!$C$5,$BL27=マスタ!$C$8), "未入力", "（正常）規定値"),
      IF(OR($BL27=マスタ!$C$5,$BL27=マスタ!$C$8), "（正常）規定値", "（エラー）値入力不可")))</f>
        <v/>
      </c>
      <c r="BJ27" s="98" t="str">
        <f>IF($AA27="", "",
        IF($AA27=マスタ!$F$3,
             IF($AB27="", "未入力", "（正常）規定値"),
                  IF($AA27=マスタ!$F$4,
                       IF($AB27&lt;&gt;入力不可用2, "（エラー）値入力不可", "（正常）規定値"))))</f>
        <v/>
      </c>
      <c r="BL27" s="75" t="str">
        <f>IF(OR($F27 = マスタ!$C$5, F27 = マスタ!$C$8), $F27,
        IF(AND($F27 = マスタ!$C$3, 'その１事業者基本情報_入力シート（一部非公開）'!$U$16), $F27,
             IF(AND($F27 = マスタ!$C$4, 'その１事業者基本情報_入力シート（一部非公開）'!$S$16), $F27,
                  IF(AND(OR($F27 = マスタ!$C$6, $F27 = マスタ!$C$7),
                                'その１事業者基本情報_入力シート（一部非公開）'!$W$16), $F27,
                       IF(OR($F27 = マスタ!$C$3, $F27=マスタ!$C$4), マスタ!$C$5,
                            IF(OR($F27 = マスタ!$C$6, $F27 = マスタ!$C$7), マスタ!$C$8, ""))))))</f>
        <v/>
      </c>
      <c r="BM27" s="75" t="str">
        <f>IF($L27&lt;&gt;"", $L27,
       IF($M27 = マスタ!$B$3,
          IF(OR($F27=マスタ!$C$3,$F27=マスタ!$C$4,$F27=マスタ!$C$5),
            IF(OR($G27 = マスタ!$D$54, $G27 = マスタ!$D$55), 0.75, 0.87),
            IF(OR($G27 = マスタ!$D$54, $G27 = マスタ!$D$55), 0.62, 0.72)),
                 IF(ISBLANK($L27), "", $L27)))</f>
        <v/>
      </c>
      <c r="BN27" s="99" t="str">
        <f>IF($L27&lt;&gt;"", $L27,
        IF($O27 = マスタ!$B$3,
          IF(OR($F27=マスタ!$C$3,$F27=マスタ!$C$4,$F27=マスタ!$C$5), 0.6, 0.5),
             IF(ISBLANK($L27), "", $L27)))</f>
        <v/>
      </c>
      <c r="BO27" s="99" t="str">
        <f>IF($T27&lt;&gt;マスタ!$B$3,
        IF(ISBLANK($S27),"",$S27),
             IF($BL27=マスタ!$C$3,0.8,
             IF($BL27=マスタ!$C$4,0.85,
             IF($BL27=マスタ!$C$6,0.9,
             IF($BL27=マスタ!$C$7,0.9,
             IF($BL27=マスタ!$C$5,1,
             IF($BL27=マスタ!$C$8,1,"無効な入力")))))))</f>
        <v/>
      </c>
      <c r="BP27" s="99" t="str">
        <f>IF($Y27&lt;&gt;マスタ!$B$3,
   IF(ISBLANK($X27), "", $X27),
   IF($BL27=マスタ!$C$3, 0.75,
      IF($BL27=マスタ!$C$4, 0.8,
         IF($BL27=マスタ!$C$6, 0.8,
            IF($BL27=マスタ!$C$7, 0.8,
               IF($BL27=マスタ!$C$5, 0.8,
                  IF($BL27=マスタ!$C$8, 0.8, "無効な入力")))))))</f>
        <v/>
      </c>
      <c r="BQ27" s="75"/>
      <c r="BR27" s="75"/>
      <c r="BS27" s="75"/>
      <c r="BT27" s="75"/>
      <c r="BU27" s="75"/>
      <c r="BV27" s="75"/>
      <c r="BW27" s="75"/>
      <c r="BX27" s="75"/>
      <c r="BY27" s="75"/>
    </row>
    <row r="28" spans="3:77" ht="30.75" customHeight="1">
      <c r="C28" s="69" t="str" cm="1">
        <f t="array" aca="1" ref="C28" ca="1">IF(SUMPRODUCT(--($D28:$AU28 &lt;&gt; "")),RIGHT(YEAR(TODAY()),2)&amp;"01"&amp;REPT("0",4-LEN(ROW()-11))&amp;ROW()-11,"")</f>
        <v/>
      </c>
      <c r="D28" s="141"/>
      <c r="E28" s="142"/>
      <c r="F28" s="71"/>
      <c r="G28" s="66"/>
      <c r="H28" s="41" t="str">
        <f>IFERROR(VLOOKUP(G28,マスタ!$D$3:$E$55,2,FALSE),"")</f>
        <v/>
      </c>
      <c r="I28" s="93"/>
      <c r="J28" s="77"/>
      <c r="K28" s="66"/>
      <c r="L28" s="103"/>
      <c r="M28" s="71"/>
      <c r="N28" s="101" t="str">
        <f>IF($M28 = $BM$9, $BM$9,
        IF($L28 = "", "",
              IF(OR(
                          AND(OR($G28 = マスタ!$D$54, $G28 = マスタ!$D$55), $L28 &lt;= $BP$9),
                          AND($G28 &lt;&gt; マスタ!$D$54, $G28 &lt;&gt; マスタ!$D$55, $L28 &lt;= $BQ$9)
                         ), $BM$9, $BN$9)))</f>
        <v/>
      </c>
      <c r="O28" s="71"/>
      <c r="P28" s="101" t="str">
        <f t="shared" si="1"/>
        <v/>
      </c>
      <c r="Q28" s="124"/>
      <c r="R28" s="124"/>
      <c r="S28" s="112" t="str">
        <f t="shared" si="17"/>
        <v/>
      </c>
      <c r="T28" s="71"/>
      <c r="U28" s="41" t="str">
        <f>IF($T28=$BM$9, $BM$9,
        IF($S28="", "",
             IF(OR(AND($BL28=マスタ!$C$3, $S28&lt;=$BS$9),
                        AND($BL28=マスタ!$C$4, $S28&lt;=$BT$9),
                        AND(OR($BL28=マスタ!$C$6, $BL28=マスタ!$C$7), $S28&lt;=$BU$9),
                        AND(OR($BL28=マスタ!$C$5, $BL28=マスタ!$C$8), $S28&lt;=$BV$9)),
                  $BM$9, $BN$9)))</f>
        <v/>
      </c>
      <c r="V28" s="129" t="str">
        <f t="shared" si="16"/>
        <v/>
      </c>
      <c r="W28" s="124"/>
      <c r="X28" s="112" t="str">
        <f t="shared" si="18"/>
        <v/>
      </c>
      <c r="Y28" s="71"/>
      <c r="Z28" s="41" t="str">
        <f>IF($Y28=$BM$9, $BM$9,
        IF(AND($T28 = $BM$9, $Y28 = $BO$9), $BN$9,
             IF($BL28=マスタ!$C$3,
                  IF($X28&lt;=$BW$9, $BM$9,$BN$9),
                       IF(OR($BL28=マスタ!$C$4, $BL28=マスタ!$C$5, $BL28=マスタ!$C$6, $BL28=マスタ!$C$7, $BL28=マスタ!$C$8),
                            IF($X28&lt;=$BX$9, $BM$9,$BN$9), ""))))</f>
        <v/>
      </c>
      <c r="AA28" s="71"/>
      <c r="AB28" s="71"/>
      <c r="AC28" s="71"/>
      <c r="AD28" s="165"/>
      <c r="AE28" s="71"/>
      <c r="AF28" s="165"/>
      <c r="AG28" s="92"/>
      <c r="AH28" s="92"/>
      <c r="AI28" s="92"/>
      <c r="AJ28" s="92"/>
      <c r="AK28" s="121"/>
      <c r="AL28" s="121"/>
      <c r="AM28" s="121"/>
      <c r="AN28" s="121"/>
      <c r="AO28" s="92"/>
      <c r="AP28" s="130" t="str">
        <f t="shared" si="5"/>
        <v/>
      </c>
      <c r="AQ28" s="121"/>
      <c r="AR28" s="101" t="str">
        <f>IF(OR(SUMPRODUCT(--(AJ28:AQ28&lt;&gt;""))&lt;7,AND($AJ28=マスタ!$N$3,$AK28="")), "",
        IF($AJ28=マスタ!$N$5, $BO$9,
              IF(OR($F28=マスタ!$C$3, $F28=マスタ!$C$4, $F28=マスタ!$C$5),
                    IF(SUM($AL28,$AM28,$AP28,$AQ28)&gt;=1, $BM$9, $BN$9),
              IF(OR($F28=マスタ!$C$6, $F28=マスタ!$C$7, $F28=マスタ!$C$8),
                    IF($AK28&lt;10, $BO$9,
                          IF(AND(SUM($AL28,$AM28,$AP28,$AQ28)&gt;=($AK28*0.2), $AM28+$AP28+$AQ28&gt;=1),
                               $BM$9,$BN$9))))))</f>
        <v/>
      </c>
      <c r="AS28" s="101" t="str">
        <f>IF(OR(SUMPRODUCT(--(AJ28:AQ28&lt;&gt;""))&lt;7,AND($AJ28=マスタ!$N$3,$AK28="")), "",
     IF($AR28=$BN$9,$BN$9,
        IF($AJ28=マスタ!$N$5, $BO$9,
             IF(OR($F28=マスタ!$C$3, $F28=マスタ!$C$4, $F28=マスタ!$C$5),
                   IF($AQ28&gt;=1, $BM$9, $BN$9),
             IF(OR($F28=マスタ!$C$6, $F28=マスタ!$C$7, $F28=マスタ!$C$8),
                   IF($AK28&lt;5, IF($AQ28&gt;=1, $BM$9, $BN$9),
                         IF(OR($AQ28&gt;=1,
                                    AND(SUM($AL28,$AM28,$AP28,$AQ28)&gt;=$AK28*0.5, ($AM28+$AP28+$AQ28)&gt;=($AK28*0.2))),
                              $BM$9,$BN$9)))))))</f>
        <v/>
      </c>
      <c r="AT28" s="66"/>
      <c r="AU28" s="143"/>
      <c r="AV28" s="98" t="str" cm="1">
        <f t="array" aca="1" ref="AV28" ca="1">IF(AND($F28:$G28&lt;&gt;"", $I28:$K28&lt;&gt;"",
                 IF(OR($M28=$BM$9,$O28=$BM$9), TRUE, $L28&lt;&gt;""),
                 $M28&lt;&gt;"",$O28&lt;&gt;"",
                 IF($T28=$BM$9, TRUE, $Q28:$R28&lt;&gt;""),
                 IF(AND($BL28&lt;&gt;"", $BL28&lt;&gt;マスタ!$C$5, $BL28&lt;&gt;マスタ!$C$8), TRUE, $T28&lt;&gt;""),
                 IF(OR(AND($T28=$BM$9,  $Y28=$BO$9), $Y28=$BM$9), TRUE,$W28&lt;&gt;""),
                 IF(AND($BL28&lt;&gt;"", $BL28&lt;&gt;マスタ!$C$5, $BL28&lt;&gt;マスタ!$C$8), TRUE, $Y28&lt;&gt;""),
                 $AA28&lt;&gt;"",
                 IF($AA28=マスタ!$F$4, TRUE, $AB28&lt;&gt;""),
                 $AG28:$AO28&lt;&gt;"", $AQ28&lt;&gt;"", $AT28&lt;&gt;""),
        "（正常）入力済み", IF($C28= "", "（複数入力）未入力", "（エラー）一部未入力"))</f>
        <v>（複数入力）未入力</v>
      </c>
      <c r="AW28" s="98" t="str">
        <f t="shared" ca="1" si="6"/>
        <v/>
      </c>
      <c r="AX28" s="98" t="str">
        <f t="shared" ca="1" si="7"/>
        <v/>
      </c>
      <c r="AY28" s="98" t="str">
        <f t="shared" ca="1" si="8"/>
        <v/>
      </c>
      <c r="AZ28" s="98" t="str">
        <f t="shared" ca="1" si="9"/>
        <v/>
      </c>
      <c r="BA28" s="98" t="str">
        <f t="shared" ca="1" si="10"/>
        <v/>
      </c>
      <c r="BB28" s="98" t="str">
        <f t="shared" ca="1" si="11"/>
        <v/>
      </c>
      <c r="BC28" s="98" t="str">
        <f t="shared" ca="1" si="12"/>
        <v/>
      </c>
      <c r="BD28" s="98" t="str">
        <f t="shared" ca="1" si="13"/>
        <v/>
      </c>
      <c r="BE28" s="98" t="str">
        <f>IF($BL28="","",
   IF($T28=入力不可用2,
      IF(OR($BL28=マスタ!$C$5,$BL28=マスタ!$C$8), "未入力", "（正常）規定値"),
      IF(OR($BL28=マスタ!$C$5,$BL28=マスタ!$C$8), "（正常）規定値", "（エラー）値入力不可")))</f>
        <v/>
      </c>
      <c r="BF28" s="98" t="str">
        <f ca="1">IF($C28 = "", "",
       IF(AND(OR($BL28=マスタ!$C$5, $BL28=マスタ!$C$8), $T28 = ""), "未入力",
            IF(AND($Y28 = $BM$9, $T28 = $BO$9), "（エラー）「適合」のみ入力可", "（正常）規定値")))</f>
        <v/>
      </c>
      <c r="BG28" s="98" t="str">
        <f t="shared" ca="1" si="14"/>
        <v/>
      </c>
      <c r="BH28" s="98" t="str">
        <f t="shared" ca="1" si="15"/>
        <v/>
      </c>
      <c r="BI28" s="98" t="str">
        <f>IF($BL28="","",
   IF($Y28=入力不可用2,
      IF(OR($BL28=マスタ!$C$5,$BL28=マスタ!$C$8), "未入力", "（正常）規定値"),
      IF(OR($BL28=マスタ!$C$5,$BL28=マスタ!$C$8), "（正常）規定値", "（エラー）値入力不可")))</f>
        <v/>
      </c>
      <c r="BJ28" s="98" t="str">
        <f>IF($AA28="", "",
        IF($AA28=マスタ!$F$3,
             IF($AB28="", "未入力", "（正常）規定値"),
                  IF($AA28=マスタ!$F$4,
                       IF($AB28&lt;&gt;入力不可用2, "（エラー）値入力不可", "（正常）規定値"))))</f>
        <v/>
      </c>
      <c r="BL28" s="75" t="str">
        <f>IF(OR($F28 = マスタ!$C$5, F28 = マスタ!$C$8), $F28,
        IF(AND($F28 = マスタ!$C$3, 'その１事業者基本情報_入力シート（一部非公開）'!$U$16), $F28,
             IF(AND($F28 = マスタ!$C$4, 'その１事業者基本情報_入力シート（一部非公開）'!$S$16), $F28,
                  IF(AND(OR($F28 = マスタ!$C$6, $F28 = マスタ!$C$7),
                                'その１事業者基本情報_入力シート（一部非公開）'!$W$16), $F28,
                       IF(OR($F28 = マスタ!$C$3, $F28=マスタ!$C$4), マスタ!$C$5,
                            IF(OR($F28 = マスタ!$C$6, $F28 = マスタ!$C$7), マスタ!$C$8, ""))))))</f>
        <v/>
      </c>
      <c r="BM28" s="75" t="str">
        <f>IF($L28&lt;&gt;"", $L28,
       IF($M28 = マスタ!$B$3,
          IF(OR($F28=マスタ!$C$3,$F28=マスタ!$C$4,$F28=マスタ!$C$5),
            IF(OR($G28 = マスタ!$D$54, $G28 = マスタ!$D$55), 0.75, 0.87),
            IF(OR($G28 = マスタ!$D$54, $G28 = マスタ!$D$55), 0.62, 0.72)),
                 IF(ISBLANK($L28), "", $L28)))</f>
        <v/>
      </c>
      <c r="BN28" s="99" t="str">
        <f>IF($L28&lt;&gt;"", $L28,
        IF($O28 = マスタ!$B$3,
          IF(OR($F28=マスタ!$C$3,$F28=マスタ!$C$4,$F28=マスタ!$C$5), 0.6, 0.5),
             IF(ISBLANK($L28), "", $L28)))</f>
        <v/>
      </c>
      <c r="BO28" s="99" t="str">
        <f>IF($T28&lt;&gt;マスタ!$B$3,
        IF(ISBLANK($S28),"",$S28),
             IF($BL28=マスタ!$C$3,0.8,
             IF($BL28=マスタ!$C$4,0.85,
             IF($BL28=マスタ!$C$6,0.9,
             IF($BL28=マスタ!$C$7,0.9,
             IF($BL28=マスタ!$C$5,1,
             IF($BL28=マスタ!$C$8,1,"無効な入力")))))))</f>
        <v/>
      </c>
      <c r="BP28" s="99" t="str">
        <f>IF($Y28&lt;&gt;マスタ!$B$3,
   IF(ISBLANK($X28), "", $X28),
   IF($BL28=マスタ!$C$3, 0.75,
      IF($BL28=マスタ!$C$4, 0.8,
         IF($BL28=マスタ!$C$6, 0.8,
            IF($BL28=マスタ!$C$7, 0.8,
               IF($BL28=マスタ!$C$5, 0.8,
                  IF($BL28=マスタ!$C$8, 0.8, "無効な入力")))))))</f>
        <v/>
      </c>
      <c r="BQ28" s="75"/>
      <c r="BR28" s="75"/>
      <c r="BS28" s="75"/>
      <c r="BT28" s="75"/>
      <c r="BU28" s="75"/>
      <c r="BV28" s="75"/>
      <c r="BW28" s="75"/>
      <c r="BX28" s="75"/>
      <c r="BY28" s="75"/>
    </row>
    <row r="29" spans="3:77" ht="30.75" customHeight="1">
      <c r="C29" s="69" t="str" cm="1">
        <f t="array" aca="1" ref="C29" ca="1">IF(SUMPRODUCT(--($D29:$AU29 &lt;&gt; "")),RIGHT(YEAR(TODAY()),2)&amp;"01"&amp;REPT("0",4-LEN(ROW()-11))&amp;ROW()-11,"")</f>
        <v/>
      </c>
      <c r="D29" s="141"/>
      <c r="E29" s="142"/>
      <c r="F29" s="71"/>
      <c r="G29" s="66"/>
      <c r="H29" s="41" t="str">
        <f>IFERROR(VLOOKUP(G29,マスタ!$D$3:$E$55,2,FALSE),"")</f>
        <v/>
      </c>
      <c r="I29" s="93"/>
      <c r="J29" s="77"/>
      <c r="K29" s="66"/>
      <c r="L29" s="103"/>
      <c r="M29" s="71"/>
      <c r="N29" s="101" t="str">
        <f>IF($M29 = $BM$9, $BM$9,
        IF($L29 = "", "",
              IF(OR(
                          AND(OR($G29 = マスタ!$D$54, $G29 = マスタ!$D$55), $L29 &lt;= $BP$9),
                          AND($G29 &lt;&gt; マスタ!$D$54, $G29 &lt;&gt; マスタ!$D$55, $L29 &lt;= $BQ$9)
                         ), $BM$9, $BN$9)))</f>
        <v/>
      </c>
      <c r="O29" s="71"/>
      <c r="P29" s="101" t="str">
        <f t="shared" si="1"/>
        <v/>
      </c>
      <c r="Q29" s="124"/>
      <c r="R29" s="124"/>
      <c r="S29" s="112" t="str">
        <f t="shared" si="17"/>
        <v/>
      </c>
      <c r="T29" s="71"/>
      <c r="U29" s="41" t="str">
        <f>IF($T29=$BM$9, $BM$9,
        IF($S29="", "",
             IF(OR(AND($BL29=マスタ!$C$3, $S29&lt;=$BS$9),
                        AND($BL29=マスタ!$C$4, $S29&lt;=$BT$9),
                        AND(OR($BL29=マスタ!$C$6, $BL29=マスタ!$C$7), $S29&lt;=$BU$9),
                        AND(OR($BL29=マスタ!$C$5, $BL29=マスタ!$C$8), $S29&lt;=$BV$9)),
                  $BM$9, $BN$9)))</f>
        <v/>
      </c>
      <c r="V29" s="129" t="str">
        <f t="shared" si="16"/>
        <v/>
      </c>
      <c r="W29" s="124"/>
      <c r="X29" s="112" t="str">
        <f t="shared" si="18"/>
        <v/>
      </c>
      <c r="Y29" s="71"/>
      <c r="Z29" s="41" t="str">
        <f>IF($Y29=$BM$9, $BM$9,
        IF(AND($T29 = $BM$9, $Y29 = $BO$9), $BN$9,
             IF($BL29=マスタ!$C$3,
                  IF($X29&lt;=$BW$9, $BM$9,$BN$9),
                       IF(OR($BL29=マスタ!$C$4, $BL29=マスタ!$C$5, $BL29=マスタ!$C$6, $BL29=マスタ!$C$7, $BL29=マスタ!$C$8),
                            IF($X29&lt;=$BX$9, $BM$9,$BN$9), ""))))</f>
        <v/>
      </c>
      <c r="AA29" s="71"/>
      <c r="AB29" s="71"/>
      <c r="AC29" s="71"/>
      <c r="AD29" s="165"/>
      <c r="AE29" s="71"/>
      <c r="AF29" s="165"/>
      <c r="AG29" s="92"/>
      <c r="AH29" s="92"/>
      <c r="AI29" s="92"/>
      <c r="AJ29" s="92"/>
      <c r="AK29" s="121"/>
      <c r="AL29" s="121"/>
      <c r="AM29" s="121"/>
      <c r="AN29" s="121"/>
      <c r="AO29" s="92"/>
      <c r="AP29" s="130" t="str">
        <f t="shared" si="5"/>
        <v/>
      </c>
      <c r="AQ29" s="121"/>
      <c r="AR29" s="101" t="str">
        <f>IF(OR(SUMPRODUCT(--(AJ29:AQ29&lt;&gt;""))&lt;7,AND($AJ29=マスタ!$N$3,$AK29="")), "",
        IF($AJ29=マスタ!$N$5, $BO$9,
              IF(OR($F29=マスタ!$C$3, $F29=マスタ!$C$4, $F29=マスタ!$C$5),
                    IF(SUM($AL29,$AM29,$AP29,$AQ29)&gt;=1, $BM$9, $BN$9),
              IF(OR($F29=マスタ!$C$6, $F29=マスタ!$C$7, $F29=マスタ!$C$8),
                    IF($AK29&lt;10, $BO$9,
                          IF(AND(SUM($AL29,$AM29,$AP29,$AQ29)&gt;=($AK29*0.2), $AM29+$AP29+$AQ29&gt;=1),
                               $BM$9,$BN$9))))))</f>
        <v/>
      </c>
      <c r="AS29" s="101" t="str">
        <f>IF(OR(SUMPRODUCT(--(AJ29:AQ29&lt;&gt;""))&lt;7,AND($AJ29=マスタ!$N$3,$AK29="")), "",
     IF($AR29=$BN$9,$BN$9,
        IF($AJ29=マスタ!$N$5, $BO$9,
             IF(OR($F29=マスタ!$C$3, $F29=マスタ!$C$4, $F29=マスタ!$C$5),
                   IF($AQ29&gt;=1, $BM$9, $BN$9),
             IF(OR($F29=マスタ!$C$6, $F29=マスタ!$C$7, $F29=マスタ!$C$8),
                   IF($AK29&lt;5, IF($AQ29&gt;=1, $BM$9, $BN$9),
                         IF(OR($AQ29&gt;=1,
                                    AND(SUM($AL29,$AM29,$AP29,$AQ29)&gt;=$AK29*0.5, ($AM29+$AP29+$AQ29)&gt;=($AK29*0.2))),
                              $BM$9,$BN$9)))))))</f>
        <v/>
      </c>
      <c r="AT29" s="66"/>
      <c r="AU29" s="143"/>
      <c r="AV29" s="98" t="str" cm="1">
        <f t="array" aca="1" ref="AV29" ca="1">IF(AND($F29:$G29&lt;&gt;"", $I29:$K29&lt;&gt;"",
                 IF(OR($M29=$BM$9,$O29=$BM$9), TRUE, $L29&lt;&gt;""),
                 $M29&lt;&gt;"",$O29&lt;&gt;"",
                 IF($T29=$BM$9, TRUE, $Q29:$R29&lt;&gt;""),
                 IF(AND($BL29&lt;&gt;"", $BL29&lt;&gt;マスタ!$C$5, $BL29&lt;&gt;マスタ!$C$8), TRUE, $T29&lt;&gt;""),
                 IF(OR(AND($T29=$BM$9,  $Y29=$BO$9), $Y29=$BM$9), TRUE,$W29&lt;&gt;""),
                 IF(AND($BL29&lt;&gt;"", $BL29&lt;&gt;マスタ!$C$5, $BL29&lt;&gt;マスタ!$C$8), TRUE, $Y29&lt;&gt;""),
                 $AA29&lt;&gt;"",
                 IF($AA29=マスタ!$F$4, TRUE, $AB29&lt;&gt;""),
                 $AG29:$AO29&lt;&gt;"", $AQ29&lt;&gt;"", $AT29&lt;&gt;""),
        "（正常）入力済み", IF($C29= "", "（複数入力）未入力", "（エラー）一部未入力"))</f>
        <v>（複数入力）未入力</v>
      </c>
      <c r="AW29" s="98" t="str">
        <f t="shared" ca="1" si="6"/>
        <v/>
      </c>
      <c r="AX29" s="98" t="str">
        <f t="shared" ca="1" si="7"/>
        <v/>
      </c>
      <c r="AY29" s="98" t="str">
        <f t="shared" ca="1" si="8"/>
        <v/>
      </c>
      <c r="AZ29" s="98" t="str">
        <f t="shared" ca="1" si="9"/>
        <v/>
      </c>
      <c r="BA29" s="98" t="str">
        <f t="shared" ca="1" si="10"/>
        <v/>
      </c>
      <c r="BB29" s="98" t="str">
        <f t="shared" ca="1" si="11"/>
        <v/>
      </c>
      <c r="BC29" s="98" t="str">
        <f t="shared" ca="1" si="12"/>
        <v/>
      </c>
      <c r="BD29" s="98" t="str">
        <f t="shared" ca="1" si="13"/>
        <v/>
      </c>
      <c r="BE29" s="98" t="str">
        <f>IF($BL29="","",
   IF($T29=入力不可用2,
      IF(OR($BL29=マスタ!$C$5,$BL29=マスタ!$C$8), "未入力", "（正常）規定値"),
      IF(OR($BL29=マスタ!$C$5,$BL29=マスタ!$C$8), "（正常）規定値", "（エラー）値入力不可")))</f>
        <v/>
      </c>
      <c r="BF29" s="98" t="str">
        <f ca="1">IF($C29 = "", "",
       IF(AND(OR($BL29=マスタ!$C$5, $BL29=マスタ!$C$8), $T29 = ""), "未入力",
            IF(AND($Y29 = $BM$9, $T29 = $BO$9), "（エラー）「適合」のみ入力可", "（正常）規定値")))</f>
        <v/>
      </c>
      <c r="BG29" s="98" t="str">
        <f t="shared" ca="1" si="14"/>
        <v/>
      </c>
      <c r="BH29" s="98" t="str">
        <f t="shared" ca="1" si="15"/>
        <v/>
      </c>
      <c r="BI29" s="98" t="str">
        <f>IF($BL29="","",
   IF($Y29=入力不可用2,
      IF(OR($BL29=マスタ!$C$5,$BL29=マスタ!$C$8), "未入力", "（正常）規定値"),
      IF(OR($BL29=マスタ!$C$5,$BL29=マスタ!$C$8), "（正常）規定値", "（エラー）値入力不可")))</f>
        <v/>
      </c>
      <c r="BJ29" s="98" t="str">
        <f>IF($AA29="", "",
        IF($AA29=マスタ!$F$3,
             IF($AB29="", "未入力", "（正常）規定値"),
                  IF($AA29=マスタ!$F$4,
                       IF($AB29&lt;&gt;入力不可用2, "（エラー）値入力不可", "（正常）規定値"))))</f>
        <v/>
      </c>
      <c r="BL29" s="75" t="str">
        <f>IF(OR($F29 = マスタ!$C$5, F29 = マスタ!$C$8), $F29,
        IF(AND($F29 = マスタ!$C$3, 'その１事業者基本情報_入力シート（一部非公開）'!$U$16), $F29,
             IF(AND($F29 = マスタ!$C$4, 'その１事業者基本情報_入力シート（一部非公開）'!$S$16), $F29,
                  IF(AND(OR($F29 = マスタ!$C$6, $F29 = マスタ!$C$7),
                                'その１事業者基本情報_入力シート（一部非公開）'!$W$16), $F29,
                       IF(OR($F29 = マスタ!$C$3, $F29=マスタ!$C$4), マスタ!$C$5,
                            IF(OR($F29 = マスタ!$C$6, $F29 = マスタ!$C$7), マスタ!$C$8, ""))))))</f>
        <v/>
      </c>
      <c r="BM29" s="75" t="str">
        <f>IF($L29&lt;&gt;"", $L29,
       IF($M29 = マスタ!$B$3,
          IF(OR($F29=マスタ!$C$3,$F29=マスタ!$C$4,$F29=マスタ!$C$5),
            IF(OR($G29 = マスタ!$D$54, $G29 = マスタ!$D$55), 0.75, 0.87),
            IF(OR($G29 = マスタ!$D$54, $G29 = マスタ!$D$55), 0.62, 0.72)),
                 IF(ISBLANK($L29), "", $L29)))</f>
        <v/>
      </c>
      <c r="BN29" s="99" t="str">
        <f>IF($L29&lt;&gt;"", $L29,
        IF($O29 = マスタ!$B$3,
          IF(OR($F29=マスタ!$C$3,$F29=マスタ!$C$4,$F29=マスタ!$C$5), 0.6, 0.5),
             IF(ISBLANK($L29), "", $L29)))</f>
        <v/>
      </c>
      <c r="BO29" s="99" t="str">
        <f>IF($T29&lt;&gt;マスタ!$B$3,
        IF(ISBLANK($S29),"",$S29),
             IF($BL29=マスタ!$C$3,0.8,
             IF($BL29=マスタ!$C$4,0.85,
             IF($BL29=マスタ!$C$6,0.9,
             IF($BL29=マスタ!$C$7,0.9,
             IF($BL29=マスタ!$C$5,1,
             IF($BL29=マスタ!$C$8,1,"無効な入力")))))))</f>
        <v/>
      </c>
      <c r="BP29" s="99" t="str">
        <f>IF($Y29&lt;&gt;マスタ!$B$3,
   IF(ISBLANK($X29), "", $X29),
   IF($BL29=マスタ!$C$3, 0.75,
      IF($BL29=マスタ!$C$4, 0.8,
         IF($BL29=マスタ!$C$6, 0.8,
            IF($BL29=マスタ!$C$7, 0.8,
               IF($BL29=マスタ!$C$5, 0.8,
                  IF($BL29=マスタ!$C$8, 0.8, "無効な入力")))))))</f>
        <v/>
      </c>
      <c r="BQ29" s="75"/>
      <c r="BR29" s="75"/>
      <c r="BS29" s="75"/>
      <c r="BT29" s="75"/>
      <c r="BU29" s="75"/>
      <c r="BV29" s="75"/>
      <c r="BW29" s="75"/>
      <c r="BX29" s="75"/>
      <c r="BY29" s="75"/>
    </row>
    <row r="30" spans="3:77" ht="30.75" customHeight="1">
      <c r="C30" s="69" t="str" cm="1">
        <f t="array" aca="1" ref="C30" ca="1">IF(SUMPRODUCT(--($D30:$AU30 &lt;&gt; "")),RIGHT(YEAR(TODAY()),2)&amp;"01"&amp;REPT("0",4-LEN(ROW()-11))&amp;ROW()-11,"")</f>
        <v/>
      </c>
      <c r="D30" s="141"/>
      <c r="E30" s="142"/>
      <c r="F30" s="71"/>
      <c r="G30" s="66"/>
      <c r="H30" s="41" t="str">
        <f>IFERROR(VLOOKUP(G30,マスタ!$D$3:$E$55,2,FALSE),"")</f>
        <v/>
      </c>
      <c r="I30" s="93"/>
      <c r="J30" s="77"/>
      <c r="K30" s="66"/>
      <c r="L30" s="103"/>
      <c r="M30" s="71"/>
      <c r="N30" s="101" t="str">
        <f>IF($M30 = $BM$9, $BM$9,
        IF($L30 = "", "",
              IF(OR(
                          AND(OR($G30 = マスタ!$D$54, $G30 = マスタ!$D$55), $L30 &lt;= $BP$9),
                          AND($G30 &lt;&gt; マスタ!$D$54, $G30 &lt;&gt; マスタ!$D$55, $L30 &lt;= $BQ$9)
                         ), $BM$9, $BN$9)))</f>
        <v/>
      </c>
      <c r="O30" s="71"/>
      <c r="P30" s="101" t="str">
        <f t="shared" si="1"/>
        <v/>
      </c>
      <c r="Q30" s="124"/>
      <c r="R30" s="124"/>
      <c r="S30" s="112" t="str">
        <f t="shared" si="17"/>
        <v/>
      </c>
      <c r="T30" s="71"/>
      <c r="U30" s="41" t="str">
        <f>IF($T30=$BM$9, $BM$9,
        IF($S30="", "",
             IF(OR(AND($BL30=マスタ!$C$3, $S30&lt;=$BS$9),
                        AND($BL30=マスタ!$C$4, $S30&lt;=$BT$9),
                        AND(OR($BL30=マスタ!$C$6, $BL30=マスタ!$C$7), $S30&lt;=$BU$9),
                        AND(OR($BL30=マスタ!$C$5, $BL30=マスタ!$C$8), $S30&lt;=$BV$9)),
                  $BM$9, $BN$9)))</f>
        <v/>
      </c>
      <c r="V30" s="129" t="str">
        <f t="shared" si="16"/>
        <v/>
      </c>
      <c r="W30" s="124"/>
      <c r="X30" s="112" t="str">
        <f t="shared" si="18"/>
        <v/>
      </c>
      <c r="Y30" s="71"/>
      <c r="Z30" s="41" t="str">
        <f>IF($Y30=$BM$9, $BM$9,
        IF(AND($T30 = $BM$9, $Y30 = $BO$9), $BN$9,
             IF($BL30=マスタ!$C$3,
                  IF($X30&lt;=$BW$9, $BM$9,$BN$9),
                       IF(OR($BL30=マスタ!$C$4, $BL30=マスタ!$C$5, $BL30=マスタ!$C$6, $BL30=マスタ!$C$7, $BL30=マスタ!$C$8),
                            IF($X30&lt;=$BX$9, $BM$9,$BN$9), ""))))</f>
        <v/>
      </c>
      <c r="AA30" s="71"/>
      <c r="AB30" s="71"/>
      <c r="AC30" s="71"/>
      <c r="AD30" s="165"/>
      <c r="AE30" s="71"/>
      <c r="AF30" s="165"/>
      <c r="AG30" s="92"/>
      <c r="AH30" s="92"/>
      <c r="AI30" s="92"/>
      <c r="AJ30" s="92"/>
      <c r="AK30" s="121"/>
      <c r="AL30" s="121"/>
      <c r="AM30" s="121"/>
      <c r="AN30" s="121"/>
      <c r="AO30" s="92"/>
      <c r="AP30" s="130" t="str">
        <f t="shared" si="5"/>
        <v/>
      </c>
      <c r="AQ30" s="121"/>
      <c r="AR30" s="101" t="str">
        <f>IF(OR(SUMPRODUCT(--(AJ30:AQ30&lt;&gt;""))&lt;7,AND($AJ30=マスタ!$N$3,$AK30="")), "",
        IF($AJ30=マスタ!$N$5, $BO$9,
              IF(OR($F30=マスタ!$C$3, $F30=マスタ!$C$4, $F30=マスタ!$C$5),
                    IF(SUM($AL30,$AM30,$AP30,$AQ30)&gt;=1, $BM$9, $BN$9),
              IF(OR($F30=マスタ!$C$6, $F30=マスタ!$C$7, $F30=マスタ!$C$8),
                    IF($AK30&lt;10, $BO$9,
                          IF(AND(SUM($AL30,$AM30,$AP30,$AQ30)&gt;=($AK30*0.2), $AM30+$AP30+$AQ30&gt;=1),
                               $BM$9,$BN$9))))))</f>
        <v/>
      </c>
      <c r="AS30" s="101" t="str">
        <f>IF(OR(SUMPRODUCT(--(AJ30:AQ30&lt;&gt;""))&lt;7,AND($AJ30=マスタ!$N$3,$AK30="")), "",
     IF($AR30=$BN$9,$BN$9,
        IF($AJ30=マスタ!$N$5, $BO$9,
             IF(OR($F30=マスタ!$C$3, $F30=マスタ!$C$4, $F30=マスタ!$C$5),
                   IF($AQ30&gt;=1, $BM$9, $BN$9),
             IF(OR($F30=マスタ!$C$6, $F30=マスタ!$C$7, $F30=マスタ!$C$8),
                   IF($AK30&lt;5, IF($AQ30&gt;=1, $BM$9, $BN$9),
                         IF(OR($AQ30&gt;=1,
                                    AND(SUM($AL30,$AM30,$AP30,$AQ30)&gt;=$AK30*0.5, ($AM30+$AP30+$AQ30)&gt;=($AK30*0.2))),
                              $BM$9,$BN$9)))))))</f>
        <v/>
      </c>
      <c r="AT30" s="66"/>
      <c r="AU30" s="143"/>
      <c r="AV30" s="98" t="str" cm="1">
        <f t="array" aca="1" ref="AV30" ca="1">IF(AND($F30:$G30&lt;&gt;"", $I30:$K30&lt;&gt;"",
                 IF(OR($M30=$BM$9,$O30=$BM$9), TRUE, $L30&lt;&gt;""),
                 $M30&lt;&gt;"",$O30&lt;&gt;"",
                 IF($T30=$BM$9, TRUE, $Q30:$R30&lt;&gt;""),
                 IF(AND($BL30&lt;&gt;"", $BL30&lt;&gt;マスタ!$C$5, $BL30&lt;&gt;マスタ!$C$8), TRUE, $T30&lt;&gt;""),
                 IF(OR(AND($T30=$BM$9,  $Y30=$BO$9), $Y30=$BM$9), TRUE,$W30&lt;&gt;""),
                 IF(AND($BL30&lt;&gt;"", $BL30&lt;&gt;マスタ!$C$5, $BL30&lt;&gt;マスタ!$C$8), TRUE, $Y30&lt;&gt;""),
                 $AA30&lt;&gt;"",
                 IF($AA30=マスタ!$F$4, TRUE, $AB30&lt;&gt;""),
                 $AG30:$AO30&lt;&gt;"", $AQ30&lt;&gt;"", $AT30&lt;&gt;""),
        "（正常）入力済み", IF($C30= "", "（複数入力）未入力", "（エラー）一部未入力"))</f>
        <v>（複数入力）未入力</v>
      </c>
      <c r="AW30" s="98" t="str">
        <f t="shared" ca="1" si="6"/>
        <v/>
      </c>
      <c r="AX30" s="98" t="str">
        <f t="shared" ca="1" si="7"/>
        <v/>
      </c>
      <c r="AY30" s="98" t="str">
        <f t="shared" ca="1" si="8"/>
        <v/>
      </c>
      <c r="AZ30" s="98" t="str">
        <f t="shared" ca="1" si="9"/>
        <v/>
      </c>
      <c r="BA30" s="98" t="str">
        <f t="shared" ca="1" si="10"/>
        <v/>
      </c>
      <c r="BB30" s="98" t="str">
        <f t="shared" ca="1" si="11"/>
        <v/>
      </c>
      <c r="BC30" s="98" t="str">
        <f t="shared" ca="1" si="12"/>
        <v/>
      </c>
      <c r="BD30" s="98" t="str">
        <f t="shared" ca="1" si="13"/>
        <v/>
      </c>
      <c r="BE30" s="98" t="str">
        <f>IF($BL30="","",
   IF($T30=入力不可用2,
      IF(OR($BL30=マスタ!$C$5,$BL30=マスタ!$C$8), "未入力", "（正常）規定値"),
      IF(OR($BL30=マスタ!$C$5,$BL30=マスタ!$C$8), "（正常）規定値", "（エラー）値入力不可")))</f>
        <v/>
      </c>
      <c r="BF30" s="98" t="str">
        <f ca="1">IF($C30 = "", "",
       IF(AND(OR($BL30=マスタ!$C$5, $BL30=マスタ!$C$8), $T30 = ""), "未入力",
            IF(AND($Y30 = $BM$9, $T30 = $BO$9), "（エラー）「適合」のみ入力可", "（正常）規定値")))</f>
        <v/>
      </c>
      <c r="BG30" s="98" t="str">
        <f t="shared" ca="1" si="14"/>
        <v/>
      </c>
      <c r="BH30" s="98" t="str">
        <f t="shared" ca="1" si="15"/>
        <v/>
      </c>
      <c r="BI30" s="98" t="str">
        <f>IF($BL30="","",
   IF($Y30=入力不可用2,
      IF(OR($BL30=マスタ!$C$5,$BL30=マスタ!$C$8), "未入力", "（正常）規定値"),
      IF(OR($BL30=マスタ!$C$5,$BL30=マスタ!$C$8), "（正常）規定値", "（エラー）値入力不可")))</f>
        <v/>
      </c>
      <c r="BJ30" s="98" t="str">
        <f>IF($AA30="", "",
        IF($AA30=マスタ!$F$3,
             IF($AB30="", "未入力", "（正常）規定値"),
                  IF($AA30=マスタ!$F$4,
                       IF($AB30&lt;&gt;入力不可用2, "（エラー）値入力不可", "（正常）規定値"))))</f>
        <v/>
      </c>
      <c r="BL30" s="75" t="str">
        <f>IF(OR($F30 = マスタ!$C$5, F30 = マスタ!$C$8), $F30,
        IF(AND($F30 = マスタ!$C$3, 'その１事業者基本情報_入力シート（一部非公開）'!$U$16), $F30,
             IF(AND($F30 = マスタ!$C$4, 'その１事業者基本情報_入力シート（一部非公開）'!$S$16), $F30,
                  IF(AND(OR($F30 = マスタ!$C$6, $F30 = マスタ!$C$7),
                                'その１事業者基本情報_入力シート（一部非公開）'!$W$16), $F30,
                       IF(OR($F30 = マスタ!$C$3, $F30=マスタ!$C$4), マスタ!$C$5,
                            IF(OR($F30 = マスタ!$C$6, $F30 = マスタ!$C$7), マスタ!$C$8, ""))))))</f>
        <v/>
      </c>
      <c r="BM30" s="75" t="str">
        <f>IF($L30&lt;&gt;"", $L30,
       IF($M30 = マスタ!$B$3,
          IF(OR($F30=マスタ!$C$3,$F30=マスタ!$C$4,$F30=マスタ!$C$5),
            IF(OR($G30 = マスタ!$D$54, $G30 = マスタ!$D$55), 0.75, 0.87),
            IF(OR($G30 = マスタ!$D$54, $G30 = マスタ!$D$55), 0.62, 0.72)),
                 IF(ISBLANK($L30), "", $L30)))</f>
        <v/>
      </c>
      <c r="BN30" s="99" t="str">
        <f>IF($L30&lt;&gt;"", $L30,
        IF($O30 = マスタ!$B$3,
          IF(OR($F30=マスタ!$C$3,$F30=マスタ!$C$4,$F30=マスタ!$C$5), 0.6, 0.5),
             IF(ISBLANK($L30), "", $L30)))</f>
        <v/>
      </c>
      <c r="BO30" s="99" t="str">
        <f>IF($T30&lt;&gt;マスタ!$B$3,
        IF(ISBLANK($S30),"",$S30),
             IF($BL30=マスタ!$C$3,0.8,
             IF($BL30=マスタ!$C$4,0.85,
             IF($BL30=マスタ!$C$6,0.9,
             IF($BL30=マスタ!$C$7,0.9,
             IF($BL30=マスタ!$C$5,1,
             IF($BL30=マスタ!$C$8,1,"無効な入力")))))))</f>
        <v/>
      </c>
      <c r="BP30" s="99" t="str">
        <f>IF($Y30&lt;&gt;マスタ!$B$3,
   IF(ISBLANK($X30), "", $X30),
   IF($BL30=マスタ!$C$3, 0.75,
      IF($BL30=マスタ!$C$4, 0.8,
         IF($BL30=マスタ!$C$6, 0.8,
            IF($BL30=マスタ!$C$7, 0.8,
               IF($BL30=マスタ!$C$5, 0.8,
                  IF($BL30=マスタ!$C$8, 0.8, "無効な入力")))))))</f>
        <v/>
      </c>
      <c r="BQ30" s="75"/>
      <c r="BR30" s="75"/>
      <c r="BS30" s="75"/>
      <c r="BT30" s="75"/>
      <c r="BU30" s="75"/>
      <c r="BV30" s="75"/>
      <c r="BW30" s="75"/>
      <c r="BX30" s="75"/>
      <c r="BY30" s="75"/>
    </row>
    <row r="31" spans="3:77" ht="30.75" customHeight="1">
      <c r="C31" s="69" t="str" cm="1">
        <f t="array" aca="1" ref="C31" ca="1">IF(SUMPRODUCT(--($D31:$AU31 &lt;&gt; "")),RIGHT(YEAR(TODAY()),2)&amp;"01"&amp;REPT("0",4-LEN(ROW()-11))&amp;ROW()-11,"")</f>
        <v/>
      </c>
      <c r="D31" s="141"/>
      <c r="E31" s="142"/>
      <c r="F31" s="71"/>
      <c r="G31" s="66"/>
      <c r="H31" s="41" t="str">
        <f>IFERROR(VLOOKUP(G31,マスタ!$D$3:$E$55,2,FALSE),"")</f>
        <v/>
      </c>
      <c r="I31" s="93"/>
      <c r="J31" s="77"/>
      <c r="K31" s="66"/>
      <c r="L31" s="103"/>
      <c r="M31" s="71"/>
      <c r="N31" s="101" t="str">
        <f>IF($M31 = $BM$9, $BM$9,
        IF($L31 = "", "",
              IF(OR(
                          AND(OR($G31 = マスタ!$D$54, $G31 = マスタ!$D$55), $L31 &lt;= $BP$9),
                          AND($G31 &lt;&gt; マスタ!$D$54, $G31 &lt;&gt; マスタ!$D$55, $L31 &lt;= $BQ$9)
                         ), $BM$9, $BN$9)))</f>
        <v/>
      </c>
      <c r="O31" s="71"/>
      <c r="P31" s="101" t="str">
        <f t="shared" si="1"/>
        <v/>
      </c>
      <c r="Q31" s="124"/>
      <c r="R31" s="124"/>
      <c r="S31" s="112" t="str">
        <f t="shared" si="17"/>
        <v/>
      </c>
      <c r="T31" s="71"/>
      <c r="U31" s="41" t="str">
        <f>IF($T31=$BM$9, $BM$9,
        IF($S31="", "",
             IF(OR(AND($BL31=マスタ!$C$3, $S31&lt;=$BS$9),
                        AND($BL31=マスタ!$C$4, $S31&lt;=$BT$9),
                        AND(OR($BL31=マスタ!$C$6, $BL31=マスタ!$C$7), $S31&lt;=$BU$9),
                        AND(OR($BL31=マスタ!$C$5, $BL31=マスタ!$C$8), $S31&lt;=$BV$9)),
                  $BM$9, $BN$9)))</f>
        <v/>
      </c>
      <c r="V31" s="129" t="str">
        <f t="shared" si="16"/>
        <v/>
      </c>
      <c r="W31" s="124"/>
      <c r="X31" s="112" t="str">
        <f t="shared" si="18"/>
        <v/>
      </c>
      <c r="Y31" s="71"/>
      <c r="Z31" s="41" t="str">
        <f>IF($Y31=$BM$9, $BM$9,
        IF(AND($T31 = $BM$9, $Y31 = $BO$9), $BN$9,
             IF($BL31=マスタ!$C$3,
                  IF($X31&lt;=$BW$9, $BM$9,$BN$9),
                       IF(OR($BL31=マスタ!$C$4, $BL31=マスタ!$C$5, $BL31=マスタ!$C$6, $BL31=マスタ!$C$7, $BL31=マスタ!$C$8),
                            IF($X31&lt;=$BX$9, $BM$9,$BN$9), ""))))</f>
        <v/>
      </c>
      <c r="AA31" s="71"/>
      <c r="AB31" s="71"/>
      <c r="AC31" s="71"/>
      <c r="AD31" s="165"/>
      <c r="AE31" s="71"/>
      <c r="AF31" s="165"/>
      <c r="AG31" s="92"/>
      <c r="AH31" s="92"/>
      <c r="AI31" s="92"/>
      <c r="AJ31" s="92"/>
      <c r="AK31" s="121"/>
      <c r="AL31" s="121"/>
      <c r="AM31" s="121"/>
      <c r="AN31" s="121"/>
      <c r="AO31" s="92"/>
      <c r="AP31" s="130" t="str">
        <f t="shared" si="5"/>
        <v/>
      </c>
      <c r="AQ31" s="121"/>
      <c r="AR31" s="101" t="str">
        <f>IF(OR(SUMPRODUCT(--(AJ31:AQ31&lt;&gt;""))&lt;7,AND($AJ31=マスタ!$N$3,$AK31="")), "",
        IF($AJ31=マスタ!$N$5, $BO$9,
              IF(OR($F31=マスタ!$C$3, $F31=マスタ!$C$4, $F31=マスタ!$C$5),
                    IF(SUM($AL31,$AM31,$AP31,$AQ31)&gt;=1, $BM$9, $BN$9),
              IF(OR($F31=マスタ!$C$6, $F31=マスタ!$C$7, $F31=マスタ!$C$8),
                    IF($AK31&lt;10, $BO$9,
                          IF(AND(SUM($AL31,$AM31,$AP31,$AQ31)&gt;=($AK31*0.2), $AM31+$AP31+$AQ31&gt;=1),
                               $BM$9,$BN$9))))))</f>
        <v/>
      </c>
      <c r="AS31" s="101" t="str">
        <f>IF(OR(SUMPRODUCT(--(AJ31:AQ31&lt;&gt;""))&lt;7,AND($AJ31=マスタ!$N$3,$AK31="")), "",
     IF($AR31=$BN$9,$BN$9,
        IF($AJ31=マスタ!$N$5, $BO$9,
             IF(OR($F31=マスタ!$C$3, $F31=マスタ!$C$4, $F31=マスタ!$C$5),
                   IF($AQ31&gt;=1, $BM$9, $BN$9),
             IF(OR($F31=マスタ!$C$6, $F31=マスタ!$C$7, $F31=マスタ!$C$8),
                   IF($AK31&lt;5, IF($AQ31&gt;=1, $BM$9, $BN$9),
                         IF(OR($AQ31&gt;=1,
                                    AND(SUM($AL31,$AM31,$AP31,$AQ31)&gt;=$AK31*0.5, ($AM31+$AP31+$AQ31)&gt;=($AK31*0.2))),
                              $BM$9,$BN$9)))))))</f>
        <v/>
      </c>
      <c r="AT31" s="66"/>
      <c r="AU31" s="143"/>
      <c r="AV31" s="98" t="str" cm="1">
        <f t="array" aca="1" ref="AV31" ca="1">IF(AND($F31:$G31&lt;&gt;"", $I31:$K31&lt;&gt;"",
                 IF(OR($M31=$BM$9,$O31=$BM$9), TRUE, $L31&lt;&gt;""),
                 $M31&lt;&gt;"",$O31&lt;&gt;"",
                 IF($T31=$BM$9, TRUE, $Q31:$R31&lt;&gt;""),
                 IF(AND($BL31&lt;&gt;"", $BL31&lt;&gt;マスタ!$C$5, $BL31&lt;&gt;マスタ!$C$8), TRUE, $T31&lt;&gt;""),
                 IF(OR(AND($T31=$BM$9,  $Y31=$BO$9), $Y31=$BM$9), TRUE,$W31&lt;&gt;""),
                 IF(AND($BL31&lt;&gt;"", $BL31&lt;&gt;マスタ!$C$5, $BL31&lt;&gt;マスタ!$C$8), TRUE, $Y31&lt;&gt;""),
                 $AA31&lt;&gt;"",
                 IF($AA31=マスタ!$F$4, TRUE, $AB31&lt;&gt;""),
                 $AG31:$AO31&lt;&gt;"", $AQ31&lt;&gt;"", $AT31&lt;&gt;""),
        "（正常）入力済み", IF($C31= "", "（複数入力）未入力", "（エラー）一部未入力"))</f>
        <v>（複数入力）未入力</v>
      </c>
      <c r="AW31" s="98" t="str">
        <f t="shared" ca="1" si="6"/>
        <v/>
      </c>
      <c r="AX31" s="98" t="str">
        <f t="shared" ca="1" si="7"/>
        <v/>
      </c>
      <c r="AY31" s="98" t="str">
        <f t="shared" ca="1" si="8"/>
        <v/>
      </c>
      <c r="AZ31" s="98" t="str">
        <f t="shared" ca="1" si="9"/>
        <v/>
      </c>
      <c r="BA31" s="98" t="str">
        <f t="shared" ca="1" si="10"/>
        <v/>
      </c>
      <c r="BB31" s="98" t="str">
        <f t="shared" ca="1" si="11"/>
        <v/>
      </c>
      <c r="BC31" s="98" t="str">
        <f t="shared" ca="1" si="12"/>
        <v/>
      </c>
      <c r="BD31" s="98" t="str">
        <f t="shared" ca="1" si="13"/>
        <v/>
      </c>
      <c r="BE31" s="98" t="str">
        <f>IF($BL31="","",
   IF($T31=入力不可用2,
      IF(OR($BL31=マスタ!$C$5,$BL31=マスタ!$C$8), "未入力", "（正常）規定値"),
      IF(OR($BL31=マスタ!$C$5,$BL31=マスタ!$C$8), "（正常）規定値", "（エラー）値入力不可")))</f>
        <v/>
      </c>
      <c r="BF31" s="98" t="str">
        <f ca="1">IF($C31 = "", "",
       IF(AND(OR($BL31=マスタ!$C$5, $BL31=マスタ!$C$8), $T31 = ""), "未入力",
            IF(AND($Y31 = $BM$9, $T31 = $BO$9), "（エラー）「適合」のみ入力可", "（正常）規定値")))</f>
        <v/>
      </c>
      <c r="BG31" s="98" t="str">
        <f t="shared" ca="1" si="14"/>
        <v/>
      </c>
      <c r="BH31" s="98" t="str">
        <f t="shared" ca="1" si="15"/>
        <v/>
      </c>
      <c r="BI31" s="98" t="str">
        <f>IF($BL31="","",
   IF($Y31=入力不可用2,
      IF(OR($BL31=マスタ!$C$5,$BL31=マスタ!$C$8), "未入力", "（正常）規定値"),
      IF(OR($BL31=マスタ!$C$5,$BL31=マスタ!$C$8), "（正常）規定値", "（エラー）値入力不可")))</f>
        <v/>
      </c>
      <c r="BJ31" s="98" t="str">
        <f>IF($AA31="", "",
        IF($AA31=マスタ!$F$3,
             IF($AB31="", "未入力", "（正常）規定値"),
                  IF($AA31=マスタ!$F$4,
                       IF($AB31&lt;&gt;入力不可用2, "（エラー）値入力不可", "（正常）規定値"))))</f>
        <v/>
      </c>
      <c r="BL31" s="75" t="str">
        <f>IF(OR($F31 = マスタ!$C$5, F31 = マスタ!$C$8), $F31,
        IF(AND($F31 = マスタ!$C$3, 'その１事業者基本情報_入力シート（一部非公開）'!$U$16), $F31,
             IF(AND($F31 = マスタ!$C$4, 'その１事業者基本情報_入力シート（一部非公開）'!$S$16), $F31,
                  IF(AND(OR($F31 = マスタ!$C$6, $F31 = マスタ!$C$7),
                                'その１事業者基本情報_入力シート（一部非公開）'!$W$16), $F31,
                       IF(OR($F31 = マスタ!$C$3, $F31=マスタ!$C$4), マスタ!$C$5,
                            IF(OR($F31 = マスタ!$C$6, $F31 = マスタ!$C$7), マスタ!$C$8, ""))))))</f>
        <v/>
      </c>
      <c r="BM31" s="75" t="str">
        <f>IF($L31&lt;&gt;"", $L31,
       IF($M31 = マスタ!$B$3,
          IF(OR($F31=マスタ!$C$3,$F31=マスタ!$C$4,$F31=マスタ!$C$5),
            IF(OR($G31 = マスタ!$D$54, $G31 = マスタ!$D$55), 0.75, 0.87),
            IF(OR($G31 = マスタ!$D$54, $G31 = マスタ!$D$55), 0.62, 0.72)),
                 IF(ISBLANK($L31), "", $L31)))</f>
        <v/>
      </c>
      <c r="BN31" s="99" t="str">
        <f>IF($L31&lt;&gt;"", $L31,
        IF($O31 = マスタ!$B$3,
          IF(OR($F31=マスタ!$C$3,$F31=マスタ!$C$4,$F31=マスタ!$C$5), 0.6, 0.5),
             IF(ISBLANK($L31), "", $L31)))</f>
        <v/>
      </c>
      <c r="BO31" s="99" t="str">
        <f>IF($T31&lt;&gt;マスタ!$B$3,
        IF(ISBLANK($S31),"",$S31),
             IF($BL31=マスタ!$C$3,0.8,
             IF($BL31=マスタ!$C$4,0.85,
             IF($BL31=マスタ!$C$6,0.9,
             IF($BL31=マスタ!$C$7,0.9,
             IF($BL31=マスタ!$C$5,1,
             IF($BL31=マスタ!$C$8,1,"無効な入力")))))))</f>
        <v/>
      </c>
      <c r="BP31" s="99" t="str">
        <f>IF($Y31&lt;&gt;マスタ!$B$3,
   IF(ISBLANK($X31), "", $X31),
   IF($BL31=マスタ!$C$3, 0.75,
      IF($BL31=マスタ!$C$4, 0.8,
         IF($BL31=マスタ!$C$6, 0.8,
            IF($BL31=マスタ!$C$7, 0.8,
               IF($BL31=マスタ!$C$5, 0.8,
                  IF($BL31=マスタ!$C$8, 0.8, "無効な入力")))))))</f>
        <v/>
      </c>
      <c r="BQ31" s="75"/>
      <c r="BR31" s="75"/>
      <c r="BS31" s="75"/>
      <c r="BT31" s="75"/>
      <c r="BU31" s="75"/>
      <c r="BV31" s="75"/>
      <c r="BW31" s="75"/>
      <c r="BX31" s="75"/>
      <c r="BY31" s="75"/>
    </row>
    <row r="32" spans="3:77" ht="30.75" customHeight="1">
      <c r="C32" s="69" t="str" cm="1">
        <f t="array" aca="1" ref="C32" ca="1">IF(SUMPRODUCT(--($D32:$AU32 &lt;&gt; "")),RIGHT(YEAR(TODAY()),2)&amp;"01"&amp;REPT("0",4-LEN(ROW()-11))&amp;ROW()-11,"")</f>
        <v/>
      </c>
      <c r="D32" s="141"/>
      <c r="E32" s="142"/>
      <c r="F32" s="71"/>
      <c r="G32" s="66"/>
      <c r="H32" s="41" t="str">
        <f>IFERROR(VLOOKUP(G32,マスタ!$D$3:$E$55,2,FALSE),"")</f>
        <v/>
      </c>
      <c r="I32" s="93"/>
      <c r="J32" s="77"/>
      <c r="K32" s="66"/>
      <c r="L32" s="103"/>
      <c r="M32" s="71"/>
      <c r="N32" s="101" t="str">
        <f>IF($M32 = $BM$9, $BM$9,
        IF($L32 = "", "",
              IF(OR(
                          AND(OR($G32 = マスタ!$D$54, $G32 = マスタ!$D$55), $L32 &lt;= $BP$9),
                          AND($G32 &lt;&gt; マスタ!$D$54, $G32 &lt;&gt; マスタ!$D$55, $L32 &lt;= $BQ$9)
                         ), $BM$9, $BN$9)))</f>
        <v/>
      </c>
      <c r="O32" s="71"/>
      <c r="P32" s="101" t="str">
        <f t="shared" si="1"/>
        <v/>
      </c>
      <c r="Q32" s="124"/>
      <c r="R32" s="124"/>
      <c r="S32" s="112" t="str">
        <f t="shared" si="17"/>
        <v/>
      </c>
      <c r="T32" s="71"/>
      <c r="U32" s="41" t="str">
        <f>IF($T32=$BM$9, $BM$9,
        IF($S32="", "",
             IF(OR(AND($BL32=マスタ!$C$3, $S32&lt;=$BS$9),
                        AND($BL32=マスタ!$C$4, $S32&lt;=$BT$9),
                        AND(OR($BL32=マスタ!$C$6, $BL32=マスタ!$C$7), $S32&lt;=$BU$9),
                        AND(OR($BL32=マスタ!$C$5, $BL32=マスタ!$C$8), $S32&lt;=$BV$9)),
                  $BM$9, $BN$9)))</f>
        <v/>
      </c>
      <c r="V32" s="129" t="str">
        <f t="shared" si="16"/>
        <v/>
      </c>
      <c r="W32" s="124"/>
      <c r="X32" s="112" t="str">
        <f t="shared" si="18"/>
        <v/>
      </c>
      <c r="Y32" s="71"/>
      <c r="Z32" s="41" t="str">
        <f>IF($Y32=$BM$9, $BM$9,
        IF(AND($T32 = $BM$9, $Y32 = $BO$9), $BN$9,
             IF($BL32=マスタ!$C$3,
                  IF($X32&lt;=$BW$9, $BM$9,$BN$9),
                       IF(OR($BL32=マスタ!$C$4, $BL32=マスタ!$C$5, $BL32=マスタ!$C$6, $BL32=マスタ!$C$7, $BL32=マスタ!$C$8),
                            IF($X32&lt;=$BX$9, $BM$9,$BN$9), ""))))</f>
        <v/>
      </c>
      <c r="AA32" s="71"/>
      <c r="AB32" s="71"/>
      <c r="AC32" s="71"/>
      <c r="AD32" s="165"/>
      <c r="AE32" s="71"/>
      <c r="AF32" s="165"/>
      <c r="AG32" s="92"/>
      <c r="AH32" s="92"/>
      <c r="AI32" s="92"/>
      <c r="AJ32" s="92"/>
      <c r="AK32" s="121"/>
      <c r="AL32" s="121"/>
      <c r="AM32" s="121"/>
      <c r="AN32" s="121"/>
      <c r="AO32" s="92"/>
      <c r="AP32" s="130" t="str">
        <f t="shared" si="5"/>
        <v/>
      </c>
      <c r="AQ32" s="121"/>
      <c r="AR32" s="101" t="str">
        <f>IF(OR(SUMPRODUCT(--(AJ32:AQ32&lt;&gt;""))&lt;7,AND($AJ32=マスタ!$N$3,$AK32="")), "",
        IF($AJ32=マスタ!$N$5, $BO$9,
              IF(OR($F32=マスタ!$C$3, $F32=マスタ!$C$4, $F32=マスタ!$C$5),
                    IF(SUM($AL32,$AM32,$AP32,$AQ32)&gt;=1, $BM$9, $BN$9),
              IF(OR($F32=マスタ!$C$6, $F32=マスタ!$C$7, $F32=マスタ!$C$8),
                    IF($AK32&lt;10, $BO$9,
                          IF(AND(SUM($AL32,$AM32,$AP32,$AQ32)&gt;=($AK32*0.2), $AM32+$AP32+$AQ32&gt;=1),
                               $BM$9,$BN$9))))))</f>
        <v/>
      </c>
      <c r="AS32" s="101" t="str">
        <f>IF(OR(SUMPRODUCT(--(AJ32:AQ32&lt;&gt;""))&lt;7,AND($AJ32=マスタ!$N$3,$AK32="")), "",
     IF($AR32=$BN$9,$BN$9,
        IF($AJ32=マスタ!$N$5, $BO$9,
             IF(OR($F32=マスタ!$C$3, $F32=マスタ!$C$4, $F32=マスタ!$C$5),
                   IF($AQ32&gt;=1, $BM$9, $BN$9),
             IF(OR($F32=マスタ!$C$6, $F32=マスタ!$C$7, $F32=マスタ!$C$8),
                   IF($AK32&lt;5, IF($AQ32&gt;=1, $BM$9, $BN$9),
                         IF(OR($AQ32&gt;=1,
                                    AND(SUM($AL32,$AM32,$AP32,$AQ32)&gt;=$AK32*0.5, ($AM32+$AP32+$AQ32)&gt;=($AK32*0.2))),
                              $BM$9,$BN$9)))))))</f>
        <v/>
      </c>
      <c r="AT32" s="66"/>
      <c r="AU32" s="143"/>
      <c r="AV32" s="98" t="str" cm="1">
        <f t="array" aca="1" ref="AV32" ca="1">IF(AND($F32:$G32&lt;&gt;"", $I32:$K32&lt;&gt;"",
                 IF(OR($M32=$BM$9,$O32=$BM$9), TRUE, $L32&lt;&gt;""),
                 $M32&lt;&gt;"",$O32&lt;&gt;"",
                 IF($T32=$BM$9, TRUE, $Q32:$R32&lt;&gt;""),
                 IF(AND($BL32&lt;&gt;"", $BL32&lt;&gt;マスタ!$C$5, $BL32&lt;&gt;マスタ!$C$8), TRUE, $T32&lt;&gt;""),
                 IF(OR(AND($T32=$BM$9,  $Y32=$BO$9), $Y32=$BM$9), TRUE,$W32&lt;&gt;""),
                 IF(AND($BL32&lt;&gt;"", $BL32&lt;&gt;マスタ!$C$5, $BL32&lt;&gt;マスタ!$C$8), TRUE, $Y32&lt;&gt;""),
                 $AA32&lt;&gt;"",
                 IF($AA32=マスタ!$F$4, TRUE, $AB32&lt;&gt;""),
                 $AG32:$AO32&lt;&gt;"", $AQ32&lt;&gt;"", $AT32&lt;&gt;""),
        "（正常）入力済み", IF($C32= "", "（複数入力）未入力", "（エラー）一部未入力"))</f>
        <v>（複数入力）未入力</v>
      </c>
      <c r="AW32" s="98" t="str">
        <f t="shared" ca="1" si="6"/>
        <v/>
      </c>
      <c r="AX32" s="98" t="str">
        <f t="shared" ca="1" si="7"/>
        <v/>
      </c>
      <c r="AY32" s="98" t="str">
        <f t="shared" ca="1" si="8"/>
        <v/>
      </c>
      <c r="AZ32" s="98" t="str">
        <f t="shared" ca="1" si="9"/>
        <v/>
      </c>
      <c r="BA32" s="98" t="str">
        <f t="shared" ca="1" si="10"/>
        <v/>
      </c>
      <c r="BB32" s="98" t="str">
        <f t="shared" ca="1" si="11"/>
        <v/>
      </c>
      <c r="BC32" s="98" t="str">
        <f t="shared" ca="1" si="12"/>
        <v/>
      </c>
      <c r="BD32" s="98" t="str">
        <f t="shared" ca="1" si="13"/>
        <v/>
      </c>
      <c r="BE32" s="98" t="str">
        <f>IF($BL32="","",
   IF($T32=入力不可用2,
      IF(OR($BL32=マスタ!$C$5,$BL32=マスタ!$C$8), "未入力", "（正常）規定値"),
      IF(OR($BL32=マスタ!$C$5,$BL32=マスタ!$C$8), "（正常）規定値", "（エラー）値入力不可")))</f>
        <v/>
      </c>
      <c r="BF32" s="98" t="str">
        <f ca="1">IF($C32 = "", "",
       IF(AND(OR($BL32=マスタ!$C$5, $BL32=マスタ!$C$8), $T32 = ""), "未入力",
            IF(AND($Y32 = $BM$9, $T32 = $BO$9), "（エラー）「適合」のみ入力可", "（正常）規定値")))</f>
        <v/>
      </c>
      <c r="BG32" s="98" t="str">
        <f t="shared" ca="1" si="14"/>
        <v/>
      </c>
      <c r="BH32" s="98" t="str">
        <f t="shared" ca="1" si="15"/>
        <v/>
      </c>
      <c r="BI32" s="98" t="str">
        <f>IF($BL32="","",
   IF($Y32=入力不可用2,
      IF(OR($BL32=マスタ!$C$5,$BL32=マスタ!$C$8), "未入力", "（正常）規定値"),
      IF(OR($BL32=マスタ!$C$5,$BL32=マスタ!$C$8), "（正常）規定値", "（エラー）値入力不可")))</f>
        <v/>
      </c>
      <c r="BJ32" s="98" t="str">
        <f>IF($AA32="", "",
        IF($AA32=マスタ!$F$3,
             IF($AB32="", "未入力", "（正常）規定値"),
                  IF($AA32=マスタ!$F$4,
                       IF($AB32&lt;&gt;入力不可用2, "（エラー）値入力不可", "（正常）規定値"))))</f>
        <v/>
      </c>
      <c r="BL32" s="75" t="str">
        <f>IF(OR($F32 = マスタ!$C$5, F32 = マスタ!$C$8), $F32,
        IF(AND($F32 = マスタ!$C$3, 'その１事業者基本情報_入力シート（一部非公開）'!$U$16), $F32,
             IF(AND($F32 = マスタ!$C$4, 'その１事業者基本情報_入力シート（一部非公開）'!$S$16), $F32,
                  IF(AND(OR($F32 = マスタ!$C$6, $F32 = マスタ!$C$7),
                                'その１事業者基本情報_入力シート（一部非公開）'!$W$16), $F32,
                       IF(OR($F32 = マスタ!$C$3, $F32=マスタ!$C$4), マスタ!$C$5,
                            IF(OR($F32 = マスタ!$C$6, $F32 = マスタ!$C$7), マスタ!$C$8, ""))))))</f>
        <v/>
      </c>
      <c r="BM32" s="75" t="str">
        <f>IF($L32&lt;&gt;"", $L32,
       IF($M32 = マスタ!$B$3,
          IF(OR($F32=マスタ!$C$3,$F32=マスタ!$C$4,$F32=マスタ!$C$5),
            IF(OR($G32 = マスタ!$D$54, $G32 = マスタ!$D$55), 0.75, 0.87),
            IF(OR($G32 = マスタ!$D$54, $G32 = マスタ!$D$55), 0.62, 0.72)),
                 IF(ISBLANK($L32), "", $L32)))</f>
        <v/>
      </c>
      <c r="BN32" s="99" t="str">
        <f>IF($L32&lt;&gt;"", $L32,
        IF($O32 = マスタ!$B$3,
          IF(OR($F32=マスタ!$C$3,$F32=マスタ!$C$4,$F32=マスタ!$C$5), 0.6, 0.5),
             IF(ISBLANK($L32), "", $L32)))</f>
        <v/>
      </c>
      <c r="BO32" s="99" t="str">
        <f>IF($T32&lt;&gt;マスタ!$B$3,
        IF(ISBLANK($S32),"",$S32),
             IF($BL32=マスタ!$C$3,0.8,
             IF($BL32=マスタ!$C$4,0.85,
             IF($BL32=マスタ!$C$6,0.9,
             IF($BL32=マスタ!$C$7,0.9,
             IF($BL32=マスタ!$C$5,1,
             IF($BL32=マスタ!$C$8,1,"無効な入力")))))))</f>
        <v/>
      </c>
      <c r="BP32" s="99" t="str">
        <f>IF($Y32&lt;&gt;マスタ!$B$3,
   IF(ISBLANK($X32), "", $X32),
   IF($BL32=マスタ!$C$3, 0.75,
      IF($BL32=マスタ!$C$4, 0.8,
         IF($BL32=マスタ!$C$6, 0.8,
            IF($BL32=マスタ!$C$7, 0.8,
               IF($BL32=マスタ!$C$5, 0.8,
                  IF($BL32=マスタ!$C$8, 0.8, "無効な入力")))))))</f>
        <v/>
      </c>
      <c r="BQ32" s="75"/>
      <c r="BR32" s="75"/>
      <c r="BS32" s="75"/>
      <c r="BT32" s="75"/>
      <c r="BU32" s="75"/>
      <c r="BV32" s="75"/>
      <c r="BW32" s="75"/>
      <c r="BX32" s="75"/>
      <c r="BY32" s="75"/>
    </row>
    <row r="33" spans="3:77" ht="30.75" customHeight="1">
      <c r="C33" s="69" t="str" cm="1">
        <f t="array" aca="1" ref="C33" ca="1">IF(SUMPRODUCT(--($D33:$AU33 &lt;&gt; "")),RIGHT(YEAR(TODAY()),2)&amp;"01"&amp;REPT("0",4-LEN(ROW()-11))&amp;ROW()-11,"")</f>
        <v/>
      </c>
      <c r="D33" s="141"/>
      <c r="E33" s="142"/>
      <c r="F33" s="71"/>
      <c r="G33" s="66"/>
      <c r="H33" s="41" t="str">
        <f>IFERROR(VLOOKUP(G33,マスタ!$D$3:$E$55,2,FALSE),"")</f>
        <v/>
      </c>
      <c r="I33" s="93"/>
      <c r="J33" s="77"/>
      <c r="K33" s="66"/>
      <c r="L33" s="103"/>
      <c r="M33" s="71"/>
      <c r="N33" s="101" t="str">
        <f>IF($M33 = $BM$9, $BM$9,
        IF($L33 = "", "",
              IF(OR(
                          AND(OR($G33 = マスタ!$D$54, $G33 = マスタ!$D$55), $L33 &lt;= $BP$9),
                          AND($G33 &lt;&gt; マスタ!$D$54, $G33 &lt;&gt; マスタ!$D$55, $L33 &lt;= $BQ$9)
                         ), $BM$9, $BN$9)))</f>
        <v/>
      </c>
      <c r="O33" s="71"/>
      <c r="P33" s="101" t="str">
        <f t="shared" si="1"/>
        <v/>
      </c>
      <c r="Q33" s="124"/>
      <c r="R33" s="124"/>
      <c r="S33" s="112" t="str">
        <f t="shared" si="17"/>
        <v/>
      </c>
      <c r="T33" s="71"/>
      <c r="U33" s="41" t="str">
        <f>IF($T33=$BM$9, $BM$9,
        IF($S33="", "",
             IF(OR(AND($BL33=マスタ!$C$3, $S33&lt;=$BS$9),
                        AND($BL33=マスタ!$C$4, $S33&lt;=$BT$9),
                        AND(OR($BL33=マスタ!$C$6, $BL33=マスタ!$C$7), $S33&lt;=$BU$9),
                        AND(OR($BL33=マスタ!$C$5, $BL33=マスタ!$C$8), $S33&lt;=$BV$9)),
                  $BM$9, $BN$9)))</f>
        <v/>
      </c>
      <c r="V33" s="129" t="str">
        <f t="shared" si="16"/>
        <v/>
      </c>
      <c r="W33" s="124"/>
      <c r="X33" s="112" t="str">
        <f t="shared" si="18"/>
        <v/>
      </c>
      <c r="Y33" s="71"/>
      <c r="Z33" s="41" t="str">
        <f>IF($Y33=$BM$9, $BM$9,
        IF(AND($T33 = $BM$9, $Y33 = $BO$9), $BN$9,
             IF($BL33=マスタ!$C$3,
                  IF($X33&lt;=$BW$9, $BM$9,$BN$9),
                       IF(OR($BL33=マスタ!$C$4, $BL33=マスタ!$C$5, $BL33=マスタ!$C$6, $BL33=マスタ!$C$7, $BL33=マスタ!$C$8),
                            IF($X33&lt;=$BX$9, $BM$9,$BN$9), ""))))</f>
        <v/>
      </c>
      <c r="AA33" s="71"/>
      <c r="AB33" s="71"/>
      <c r="AC33" s="71"/>
      <c r="AD33" s="165"/>
      <c r="AE33" s="71"/>
      <c r="AF33" s="165"/>
      <c r="AG33" s="92"/>
      <c r="AH33" s="92"/>
      <c r="AI33" s="92"/>
      <c r="AJ33" s="92"/>
      <c r="AK33" s="121"/>
      <c r="AL33" s="121"/>
      <c r="AM33" s="121"/>
      <c r="AN33" s="121"/>
      <c r="AO33" s="92"/>
      <c r="AP33" s="130" t="str">
        <f t="shared" si="5"/>
        <v/>
      </c>
      <c r="AQ33" s="121"/>
      <c r="AR33" s="101" t="str">
        <f>IF(OR(SUMPRODUCT(--(AJ33:AQ33&lt;&gt;""))&lt;7,AND($AJ33=マスタ!$N$3,$AK33="")), "",
        IF($AJ33=マスタ!$N$5, $BO$9,
              IF(OR($F33=マスタ!$C$3, $F33=マスタ!$C$4, $F33=マスタ!$C$5),
                    IF(SUM($AL33,$AM33,$AP33,$AQ33)&gt;=1, $BM$9, $BN$9),
              IF(OR($F33=マスタ!$C$6, $F33=マスタ!$C$7, $F33=マスタ!$C$8),
                    IF($AK33&lt;10, $BO$9,
                          IF(AND(SUM($AL33,$AM33,$AP33,$AQ33)&gt;=($AK33*0.2), $AM33+$AP33+$AQ33&gt;=1),
                               $BM$9,$BN$9))))))</f>
        <v/>
      </c>
      <c r="AS33" s="101" t="str">
        <f>IF(OR(SUMPRODUCT(--(AJ33:AQ33&lt;&gt;""))&lt;7,AND($AJ33=マスタ!$N$3,$AK33="")), "",
     IF($AR33=$BN$9,$BN$9,
        IF($AJ33=マスタ!$N$5, $BO$9,
             IF(OR($F33=マスタ!$C$3, $F33=マスタ!$C$4, $F33=マスタ!$C$5),
                   IF($AQ33&gt;=1, $BM$9, $BN$9),
             IF(OR($F33=マスタ!$C$6, $F33=マスタ!$C$7, $F33=マスタ!$C$8),
                   IF($AK33&lt;5, IF($AQ33&gt;=1, $BM$9, $BN$9),
                         IF(OR($AQ33&gt;=1,
                                    AND(SUM($AL33,$AM33,$AP33,$AQ33)&gt;=$AK33*0.5, ($AM33+$AP33+$AQ33)&gt;=($AK33*0.2))),
                              $BM$9,$BN$9)))))))</f>
        <v/>
      </c>
      <c r="AT33" s="66"/>
      <c r="AU33" s="143"/>
      <c r="AV33" s="98" t="str" cm="1">
        <f t="array" aca="1" ref="AV33" ca="1">IF(AND($F33:$G33&lt;&gt;"", $I33:$K33&lt;&gt;"",
                 IF(OR($M33=$BM$9,$O33=$BM$9), TRUE, $L33&lt;&gt;""),
                 $M33&lt;&gt;"",$O33&lt;&gt;"",
                 IF($T33=$BM$9, TRUE, $Q33:$R33&lt;&gt;""),
                 IF(AND($BL33&lt;&gt;"", $BL33&lt;&gt;マスタ!$C$5, $BL33&lt;&gt;マスタ!$C$8), TRUE, $T33&lt;&gt;""),
                 IF(OR(AND($T33=$BM$9,  $Y33=$BO$9), $Y33=$BM$9), TRUE,$W33&lt;&gt;""),
                 IF(AND($BL33&lt;&gt;"", $BL33&lt;&gt;マスタ!$C$5, $BL33&lt;&gt;マスタ!$C$8), TRUE, $Y33&lt;&gt;""),
                 $AA33&lt;&gt;"",
                 IF($AA33=マスタ!$F$4, TRUE, $AB33&lt;&gt;""),
                 $AG33:$AO33&lt;&gt;"", $AQ33&lt;&gt;"", $AT33&lt;&gt;""),
        "（正常）入力済み", IF($C33= "", "（複数入力）未入力", "（エラー）一部未入力"))</f>
        <v>（複数入力）未入力</v>
      </c>
      <c r="AW33" s="98" t="str">
        <f t="shared" ca="1" si="6"/>
        <v/>
      </c>
      <c r="AX33" s="98" t="str">
        <f t="shared" ca="1" si="7"/>
        <v/>
      </c>
      <c r="AY33" s="98" t="str">
        <f t="shared" ca="1" si="8"/>
        <v/>
      </c>
      <c r="AZ33" s="98" t="str">
        <f t="shared" ca="1" si="9"/>
        <v/>
      </c>
      <c r="BA33" s="98" t="str">
        <f t="shared" ca="1" si="10"/>
        <v/>
      </c>
      <c r="BB33" s="98" t="str">
        <f t="shared" ca="1" si="11"/>
        <v/>
      </c>
      <c r="BC33" s="98" t="str">
        <f t="shared" ca="1" si="12"/>
        <v/>
      </c>
      <c r="BD33" s="98" t="str">
        <f t="shared" ca="1" si="13"/>
        <v/>
      </c>
      <c r="BE33" s="98" t="str">
        <f>IF($BL33="","",
   IF($T33=入力不可用2,
      IF(OR($BL33=マスタ!$C$5,$BL33=マスタ!$C$8), "未入力", "（正常）規定値"),
      IF(OR($BL33=マスタ!$C$5,$BL33=マスタ!$C$8), "（正常）規定値", "（エラー）値入力不可")))</f>
        <v/>
      </c>
      <c r="BF33" s="98" t="str">
        <f ca="1">IF($C33 = "", "",
       IF(AND(OR($BL33=マスタ!$C$5, $BL33=マスタ!$C$8), $T33 = ""), "未入力",
            IF(AND($Y33 = $BM$9, $T33 = $BO$9), "（エラー）「適合」のみ入力可", "（正常）規定値")))</f>
        <v/>
      </c>
      <c r="BG33" s="98" t="str">
        <f t="shared" ca="1" si="14"/>
        <v/>
      </c>
      <c r="BH33" s="98" t="str">
        <f t="shared" ca="1" si="15"/>
        <v/>
      </c>
      <c r="BI33" s="98" t="str">
        <f>IF($BL33="","",
   IF($Y33=入力不可用2,
      IF(OR($BL33=マスタ!$C$5,$BL33=マスタ!$C$8), "未入力", "（正常）規定値"),
      IF(OR($BL33=マスタ!$C$5,$BL33=マスタ!$C$8), "（正常）規定値", "（エラー）値入力不可")))</f>
        <v/>
      </c>
      <c r="BJ33" s="98" t="str">
        <f>IF($AA33="", "",
        IF($AA33=マスタ!$F$3,
             IF($AB33="", "未入力", "（正常）規定値"),
                  IF($AA33=マスタ!$F$4,
                       IF($AB33&lt;&gt;入力不可用2, "（エラー）値入力不可", "（正常）規定値"))))</f>
        <v/>
      </c>
      <c r="BL33" s="75" t="str">
        <f>IF(OR($F33 = マスタ!$C$5, F33 = マスタ!$C$8), $F33,
        IF(AND($F33 = マスタ!$C$3, 'その１事業者基本情報_入力シート（一部非公開）'!$U$16), $F33,
             IF(AND($F33 = マスタ!$C$4, 'その１事業者基本情報_入力シート（一部非公開）'!$S$16), $F33,
                  IF(AND(OR($F33 = マスタ!$C$6, $F33 = マスタ!$C$7),
                                'その１事業者基本情報_入力シート（一部非公開）'!$W$16), $F33,
                       IF(OR($F33 = マスタ!$C$3, $F33=マスタ!$C$4), マスタ!$C$5,
                            IF(OR($F33 = マスタ!$C$6, $F33 = マスタ!$C$7), マスタ!$C$8, ""))))))</f>
        <v/>
      </c>
      <c r="BM33" s="75" t="str">
        <f>IF($L33&lt;&gt;"", $L33,
       IF($M33 = マスタ!$B$3,
          IF(OR($F33=マスタ!$C$3,$F33=マスタ!$C$4,$F33=マスタ!$C$5),
            IF(OR($G33 = マスタ!$D$54, $G33 = マスタ!$D$55), 0.75, 0.87),
            IF(OR($G33 = マスタ!$D$54, $G33 = マスタ!$D$55), 0.62, 0.72)),
                 IF(ISBLANK($L33), "", $L33)))</f>
        <v/>
      </c>
      <c r="BN33" s="99" t="str">
        <f>IF($L33&lt;&gt;"", $L33,
        IF($O33 = マスタ!$B$3,
          IF(OR($F33=マスタ!$C$3,$F33=マスタ!$C$4,$F33=マスタ!$C$5), 0.6, 0.5),
             IF(ISBLANK($L33), "", $L33)))</f>
        <v/>
      </c>
      <c r="BO33" s="99" t="str">
        <f>IF($T33&lt;&gt;マスタ!$B$3,
        IF(ISBLANK($S33),"",$S33),
             IF($BL33=マスタ!$C$3,0.8,
             IF($BL33=マスタ!$C$4,0.85,
             IF($BL33=マスタ!$C$6,0.9,
             IF($BL33=マスタ!$C$7,0.9,
             IF($BL33=マスタ!$C$5,1,
             IF($BL33=マスタ!$C$8,1,"無効な入力")))))))</f>
        <v/>
      </c>
      <c r="BP33" s="99" t="str">
        <f>IF($Y33&lt;&gt;マスタ!$B$3,
   IF(ISBLANK($X33), "", $X33),
   IF($BL33=マスタ!$C$3, 0.75,
      IF($BL33=マスタ!$C$4, 0.8,
         IF($BL33=マスタ!$C$6, 0.8,
            IF($BL33=マスタ!$C$7, 0.8,
               IF($BL33=マスタ!$C$5, 0.8,
                  IF($BL33=マスタ!$C$8, 0.8, "無効な入力")))))))</f>
        <v/>
      </c>
      <c r="BQ33" s="75"/>
      <c r="BR33" s="75"/>
      <c r="BS33" s="75"/>
      <c r="BT33" s="75"/>
      <c r="BU33" s="75"/>
      <c r="BV33" s="75"/>
      <c r="BW33" s="75"/>
      <c r="BX33" s="75"/>
      <c r="BY33" s="75"/>
    </row>
    <row r="34" spans="3:77" ht="30.75" customHeight="1">
      <c r="C34" s="69" t="str" cm="1">
        <f t="array" aca="1" ref="C34" ca="1">IF(SUMPRODUCT(--($D34:$AU34 &lt;&gt; "")),RIGHT(YEAR(TODAY()),2)&amp;"01"&amp;REPT("0",4-LEN(ROW()-11))&amp;ROW()-11,"")</f>
        <v/>
      </c>
      <c r="D34" s="141"/>
      <c r="E34" s="142"/>
      <c r="F34" s="71"/>
      <c r="G34" s="66"/>
      <c r="H34" s="41" t="str">
        <f>IFERROR(VLOOKUP(G34,マスタ!$D$3:$E$55,2,FALSE),"")</f>
        <v/>
      </c>
      <c r="I34" s="93"/>
      <c r="J34" s="77"/>
      <c r="K34" s="66"/>
      <c r="L34" s="103"/>
      <c r="M34" s="71"/>
      <c r="N34" s="101" t="str">
        <f>IF($M34 = $BM$9, $BM$9,
        IF($L34 = "", "",
              IF(OR(
                          AND(OR($G34 = マスタ!$D$54, $G34 = マスタ!$D$55), $L34 &lt;= $BP$9),
                          AND($G34 &lt;&gt; マスタ!$D$54, $G34 &lt;&gt; マスタ!$D$55, $L34 &lt;= $BQ$9)
                         ), $BM$9, $BN$9)))</f>
        <v/>
      </c>
      <c r="O34" s="71"/>
      <c r="P34" s="101" t="str">
        <f t="shared" si="1"/>
        <v/>
      </c>
      <c r="Q34" s="124"/>
      <c r="R34" s="124"/>
      <c r="S34" s="112" t="str">
        <f t="shared" si="17"/>
        <v/>
      </c>
      <c r="T34" s="71"/>
      <c r="U34" s="41" t="str">
        <f>IF($T34=$BM$9, $BM$9,
        IF($S34="", "",
             IF(OR(AND($BL34=マスタ!$C$3, $S34&lt;=$BS$9),
                        AND($BL34=マスタ!$C$4, $S34&lt;=$BT$9),
                        AND(OR($BL34=マスタ!$C$6, $BL34=マスタ!$C$7), $S34&lt;=$BU$9),
                        AND(OR($BL34=マスタ!$C$5, $BL34=マスタ!$C$8), $S34&lt;=$BV$9)),
                  $BM$9, $BN$9)))</f>
        <v/>
      </c>
      <c r="V34" s="129" t="str">
        <f t="shared" si="16"/>
        <v/>
      </c>
      <c r="W34" s="124"/>
      <c r="X34" s="112" t="str">
        <f t="shared" si="18"/>
        <v/>
      </c>
      <c r="Y34" s="71"/>
      <c r="Z34" s="41" t="str">
        <f>IF($Y34=$BM$9, $BM$9,
        IF(AND($T34 = $BM$9, $Y34 = $BO$9), $BN$9,
             IF($BL34=マスタ!$C$3,
                  IF($X34&lt;=$BW$9, $BM$9,$BN$9),
                       IF(OR($BL34=マスタ!$C$4, $BL34=マスタ!$C$5, $BL34=マスタ!$C$6, $BL34=マスタ!$C$7, $BL34=マスタ!$C$8),
                            IF($X34&lt;=$BX$9, $BM$9,$BN$9), ""))))</f>
        <v/>
      </c>
      <c r="AA34" s="71"/>
      <c r="AB34" s="71"/>
      <c r="AC34" s="71"/>
      <c r="AD34" s="165"/>
      <c r="AE34" s="71"/>
      <c r="AF34" s="165"/>
      <c r="AG34" s="92"/>
      <c r="AH34" s="92"/>
      <c r="AI34" s="92"/>
      <c r="AJ34" s="92"/>
      <c r="AK34" s="121"/>
      <c r="AL34" s="121"/>
      <c r="AM34" s="121"/>
      <c r="AN34" s="121"/>
      <c r="AO34" s="92"/>
      <c r="AP34" s="130" t="str">
        <f t="shared" si="5"/>
        <v/>
      </c>
      <c r="AQ34" s="121"/>
      <c r="AR34" s="101" t="str">
        <f>IF(OR(SUMPRODUCT(--(AJ34:AQ34&lt;&gt;""))&lt;7,AND($AJ34=マスタ!$N$3,$AK34="")), "",
        IF($AJ34=マスタ!$N$5, $BO$9,
              IF(OR($F34=マスタ!$C$3, $F34=マスタ!$C$4, $F34=マスタ!$C$5),
                    IF(SUM($AL34,$AM34,$AP34,$AQ34)&gt;=1, $BM$9, $BN$9),
              IF(OR($F34=マスタ!$C$6, $F34=マスタ!$C$7, $F34=マスタ!$C$8),
                    IF($AK34&lt;10, $BO$9,
                          IF(AND(SUM($AL34,$AM34,$AP34,$AQ34)&gt;=($AK34*0.2), $AM34+$AP34+$AQ34&gt;=1),
                               $BM$9,$BN$9))))))</f>
        <v/>
      </c>
      <c r="AS34" s="101" t="str">
        <f>IF(OR(SUMPRODUCT(--(AJ34:AQ34&lt;&gt;""))&lt;7,AND($AJ34=マスタ!$N$3,$AK34="")), "",
     IF($AR34=$BN$9,$BN$9,
        IF($AJ34=マスタ!$N$5, $BO$9,
             IF(OR($F34=マスタ!$C$3, $F34=マスタ!$C$4, $F34=マスタ!$C$5),
                   IF($AQ34&gt;=1, $BM$9, $BN$9),
             IF(OR($F34=マスタ!$C$6, $F34=マスタ!$C$7, $F34=マスタ!$C$8),
                   IF($AK34&lt;5, IF($AQ34&gt;=1, $BM$9, $BN$9),
                         IF(OR($AQ34&gt;=1,
                                    AND(SUM($AL34,$AM34,$AP34,$AQ34)&gt;=$AK34*0.5, ($AM34+$AP34+$AQ34)&gt;=($AK34*0.2))),
                              $BM$9,$BN$9)))))))</f>
        <v/>
      </c>
      <c r="AT34" s="66"/>
      <c r="AU34" s="143"/>
      <c r="AV34" s="98" t="str" cm="1">
        <f t="array" aca="1" ref="AV34" ca="1">IF(AND($F34:$G34&lt;&gt;"", $I34:$K34&lt;&gt;"",
                 IF(OR($M34=$BM$9,$O34=$BM$9), TRUE, $L34&lt;&gt;""),
                 $M34&lt;&gt;"",$O34&lt;&gt;"",
                 IF($T34=$BM$9, TRUE, $Q34:$R34&lt;&gt;""),
                 IF(AND($BL34&lt;&gt;"", $BL34&lt;&gt;マスタ!$C$5, $BL34&lt;&gt;マスタ!$C$8), TRUE, $T34&lt;&gt;""),
                 IF(OR(AND($T34=$BM$9,  $Y34=$BO$9), $Y34=$BM$9), TRUE,$W34&lt;&gt;""),
                 IF(AND($BL34&lt;&gt;"", $BL34&lt;&gt;マスタ!$C$5, $BL34&lt;&gt;マスタ!$C$8), TRUE, $Y34&lt;&gt;""),
                 $AA34&lt;&gt;"",
                 IF($AA34=マスタ!$F$4, TRUE, $AB34&lt;&gt;""),
                 $AG34:$AO34&lt;&gt;"", $AQ34&lt;&gt;"", $AT34&lt;&gt;""),
        "（正常）入力済み", IF($C34= "", "（複数入力）未入力", "（エラー）一部未入力"))</f>
        <v>（複数入力）未入力</v>
      </c>
      <c r="AW34" s="98" t="str">
        <f t="shared" ca="1" si="6"/>
        <v/>
      </c>
      <c r="AX34" s="98" t="str">
        <f t="shared" ca="1" si="7"/>
        <v/>
      </c>
      <c r="AY34" s="98" t="str">
        <f t="shared" ca="1" si="8"/>
        <v/>
      </c>
      <c r="AZ34" s="98" t="str">
        <f t="shared" ca="1" si="9"/>
        <v/>
      </c>
      <c r="BA34" s="98" t="str">
        <f t="shared" ca="1" si="10"/>
        <v/>
      </c>
      <c r="BB34" s="98" t="str">
        <f t="shared" ca="1" si="11"/>
        <v/>
      </c>
      <c r="BC34" s="98" t="str">
        <f t="shared" ca="1" si="12"/>
        <v/>
      </c>
      <c r="BD34" s="98" t="str">
        <f t="shared" ca="1" si="13"/>
        <v/>
      </c>
      <c r="BE34" s="98" t="str">
        <f>IF($BL34="","",
   IF($T34=入力不可用2,
      IF(OR($BL34=マスタ!$C$5,$BL34=マスタ!$C$8), "未入力", "（正常）規定値"),
      IF(OR($BL34=マスタ!$C$5,$BL34=マスタ!$C$8), "（正常）規定値", "（エラー）値入力不可")))</f>
        <v/>
      </c>
      <c r="BF34" s="98" t="str">
        <f ca="1">IF($C34 = "", "",
       IF(AND(OR($BL34=マスタ!$C$5, $BL34=マスタ!$C$8), $T34 = ""), "未入力",
            IF(AND($Y34 = $BM$9, $T34 = $BO$9), "（エラー）「適合」のみ入力可", "（正常）規定値")))</f>
        <v/>
      </c>
      <c r="BG34" s="98" t="str">
        <f t="shared" ca="1" si="14"/>
        <v/>
      </c>
      <c r="BH34" s="98" t="str">
        <f t="shared" ca="1" si="15"/>
        <v/>
      </c>
      <c r="BI34" s="98" t="str">
        <f>IF($BL34="","",
   IF($Y34=入力不可用2,
      IF(OR($BL34=マスタ!$C$5,$BL34=マスタ!$C$8), "未入力", "（正常）規定値"),
      IF(OR($BL34=マスタ!$C$5,$BL34=マスタ!$C$8), "（正常）規定値", "（エラー）値入力不可")))</f>
        <v/>
      </c>
      <c r="BJ34" s="98" t="str">
        <f>IF($AA34="", "",
        IF($AA34=マスタ!$F$3,
             IF($AB34="", "未入力", "（正常）規定値"),
                  IF($AA34=マスタ!$F$4,
                       IF($AB34&lt;&gt;入力不可用2, "（エラー）値入力不可", "（正常）規定値"))))</f>
        <v/>
      </c>
      <c r="BL34" s="75" t="str">
        <f>IF(OR($F34 = マスタ!$C$5, F34 = マスタ!$C$8), $F34,
        IF(AND($F34 = マスタ!$C$3, 'その１事業者基本情報_入力シート（一部非公開）'!$U$16), $F34,
             IF(AND($F34 = マスタ!$C$4, 'その１事業者基本情報_入力シート（一部非公開）'!$S$16), $F34,
                  IF(AND(OR($F34 = マスタ!$C$6, $F34 = マスタ!$C$7),
                                'その１事業者基本情報_入力シート（一部非公開）'!$W$16), $F34,
                       IF(OR($F34 = マスタ!$C$3, $F34=マスタ!$C$4), マスタ!$C$5,
                            IF(OR($F34 = マスタ!$C$6, $F34 = マスタ!$C$7), マスタ!$C$8, ""))))))</f>
        <v/>
      </c>
      <c r="BM34" s="75" t="str">
        <f>IF($L34&lt;&gt;"", $L34,
       IF($M34 = マスタ!$B$3,
          IF(OR($F34=マスタ!$C$3,$F34=マスタ!$C$4,$F34=マスタ!$C$5),
            IF(OR($G34 = マスタ!$D$54, $G34 = マスタ!$D$55), 0.75, 0.87),
            IF(OR($G34 = マスタ!$D$54, $G34 = マスタ!$D$55), 0.62, 0.72)),
                 IF(ISBLANK($L34), "", $L34)))</f>
        <v/>
      </c>
      <c r="BN34" s="99" t="str">
        <f>IF($L34&lt;&gt;"", $L34,
        IF($O34 = マスタ!$B$3,
          IF(OR($F34=マスタ!$C$3,$F34=マスタ!$C$4,$F34=マスタ!$C$5), 0.6, 0.5),
             IF(ISBLANK($L34), "", $L34)))</f>
        <v/>
      </c>
      <c r="BO34" s="99" t="str">
        <f>IF($T34&lt;&gt;マスタ!$B$3,
        IF(ISBLANK($S34),"",$S34),
             IF($BL34=マスタ!$C$3,0.8,
             IF($BL34=マスタ!$C$4,0.85,
             IF($BL34=マスタ!$C$6,0.9,
             IF($BL34=マスタ!$C$7,0.9,
             IF($BL34=マスタ!$C$5,1,
             IF($BL34=マスタ!$C$8,1,"無効な入力")))))))</f>
        <v/>
      </c>
      <c r="BP34" s="99" t="str">
        <f>IF($Y34&lt;&gt;マスタ!$B$3,
   IF(ISBLANK($X34), "", $X34),
   IF($BL34=マスタ!$C$3, 0.75,
      IF($BL34=マスタ!$C$4, 0.8,
         IF($BL34=マスタ!$C$6, 0.8,
            IF($BL34=マスタ!$C$7, 0.8,
               IF($BL34=マスタ!$C$5, 0.8,
                  IF($BL34=マスタ!$C$8, 0.8, "無効な入力")))))))</f>
        <v/>
      </c>
      <c r="BQ34" s="75"/>
      <c r="BR34" s="75"/>
      <c r="BS34" s="75"/>
      <c r="BT34" s="75"/>
      <c r="BU34" s="75"/>
      <c r="BV34" s="75"/>
      <c r="BW34" s="75"/>
      <c r="BX34" s="75"/>
      <c r="BY34" s="75"/>
    </row>
    <row r="35" spans="3:77" ht="30.75" customHeight="1">
      <c r="C35" s="69" t="str" cm="1">
        <f t="array" aca="1" ref="C35" ca="1">IF(SUMPRODUCT(--($D35:$AU35 &lt;&gt; "")),RIGHT(YEAR(TODAY()),2)&amp;"01"&amp;REPT("0",4-LEN(ROW()-11))&amp;ROW()-11,"")</f>
        <v/>
      </c>
      <c r="D35" s="141"/>
      <c r="E35" s="142"/>
      <c r="F35" s="71"/>
      <c r="G35" s="66"/>
      <c r="H35" s="41" t="str">
        <f>IFERROR(VLOOKUP(G35,マスタ!$D$3:$E$55,2,FALSE),"")</f>
        <v/>
      </c>
      <c r="I35" s="93"/>
      <c r="J35" s="77"/>
      <c r="K35" s="66"/>
      <c r="L35" s="103"/>
      <c r="M35" s="71"/>
      <c r="N35" s="101" t="str">
        <f>IF($M35 = $BM$9, $BM$9,
        IF($L35 = "", "",
              IF(OR(
                          AND(OR($G35 = マスタ!$D$54, $G35 = マスタ!$D$55), $L35 &lt;= $BP$9),
                          AND($G35 &lt;&gt; マスタ!$D$54, $G35 &lt;&gt; マスタ!$D$55, $L35 &lt;= $BQ$9)
                         ), $BM$9, $BN$9)))</f>
        <v/>
      </c>
      <c r="O35" s="71"/>
      <c r="P35" s="101" t="str">
        <f t="shared" si="1"/>
        <v/>
      </c>
      <c r="Q35" s="124"/>
      <c r="R35" s="124"/>
      <c r="S35" s="112" t="str">
        <f t="shared" si="17"/>
        <v/>
      </c>
      <c r="T35" s="71"/>
      <c r="U35" s="41" t="str">
        <f>IF($T35=$BM$9, $BM$9,
        IF($S35="", "",
             IF(OR(AND($BL35=マスタ!$C$3, $S35&lt;=$BS$9),
                        AND($BL35=マスタ!$C$4, $S35&lt;=$BT$9),
                        AND(OR($BL35=マスタ!$C$6, $BL35=マスタ!$C$7), $S35&lt;=$BU$9),
                        AND(OR($BL35=マスタ!$C$5, $BL35=マスタ!$C$8), $S35&lt;=$BV$9)),
                  $BM$9, $BN$9)))</f>
        <v/>
      </c>
      <c r="V35" s="129" t="str">
        <f t="shared" si="16"/>
        <v/>
      </c>
      <c r="W35" s="124"/>
      <c r="X35" s="112" t="str">
        <f t="shared" si="18"/>
        <v/>
      </c>
      <c r="Y35" s="71"/>
      <c r="Z35" s="41" t="str">
        <f>IF($Y35=$BM$9, $BM$9,
        IF(AND($T35 = $BM$9, $Y35 = $BO$9), $BN$9,
             IF($BL35=マスタ!$C$3,
                  IF($X35&lt;=$BW$9, $BM$9,$BN$9),
                       IF(OR($BL35=マスタ!$C$4, $BL35=マスタ!$C$5, $BL35=マスタ!$C$6, $BL35=マスタ!$C$7, $BL35=マスタ!$C$8),
                            IF($X35&lt;=$BX$9, $BM$9,$BN$9), ""))))</f>
        <v/>
      </c>
      <c r="AA35" s="71"/>
      <c r="AB35" s="71"/>
      <c r="AC35" s="71"/>
      <c r="AD35" s="165"/>
      <c r="AE35" s="71"/>
      <c r="AF35" s="165"/>
      <c r="AG35" s="92"/>
      <c r="AH35" s="92"/>
      <c r="AI35" s="92"/>
      <c r="AJ35" s="92"/>
      <c r="AK35" s="121"/>
      <c r="AL35" s="121"/>
      <c r="AM35" s="121"/>
      <c r="AN35" s="121"/>
      <c r="AO35" s="92"/>
      <c r="AP35" s="130" t="str">
        <f t="shared" si="5"/>
        <v/>
      </c>
      <c r="AQ35" s="121"/>
      <c r="AR35" s="101" t="str">
        <f>IF(OR(SUMPRODUCT(--(AJ35:AQ35&lt;&gt;""))&lt;7,AND($AJ35=マスタ!$N$3,$AK35="")), "",
        IF($AJ35=マスタ!$N$5, $BO$9,
              IF(OR($F35=マスタ!$C$3, $F35=マスタ!$C$4, $F35=マスタ!$C$5),
                    IF(SUM($AL35,$AM35,$AP35,$AQ35)&gt;=1, $BM$9, $BN$9),
              IF(OR($F35=マスタ!$C$6, $F35=マスタ!$C$7, $F35=マスタ!$C$8),
                    IF($AK35&lt;10, $BO$9,
                          IF(AND(SUM($AL35,$AM35,$AP35,$AQ35)&gt;=($AK35*0.2), $AM35+$AP35+$AQ35&gt;=1),
                               $BM$9,$BN$9))))))</f>
        <v/>
      </c>
      <c r="AS35" s="101" t="str">
        <f>IF(OR(SUMPRODUCT(--(AJ35:AQ35&lt;&gt;""))&lt;7,AND($AJ35=マスタ!$N$3,$AK35="")), "",
     IF($AR35=$BN$9,$BN$9,
        IF($AJ35=マスタ!$N$5, $BO$9,
             IF(OR($F35=マスタ!$C$3, $F35=マスタ!$C$4, $F35=マスタ!$C$5),
                   IF($AQ35&gt;=1, $BM$9, $BN$9),
             IF(OR($F35=マスタ!$C$6, $F35=マスタ!$C$7, $F35=マスタ!$C$8),
                   IF($AK35&lt;5, IF($AQ35&gt;=1, $BM$9, $BN$9),
                         IF(OR($AQ35&gt;=1,
                                    AND(SUM($AL35,$AM35,$AP35,$AQ35)&gt;=$AK35*0.5, ($AM35+$AP35+$AQ35)&gt;=($AK35*0.2))),
                              $BM$9,$BN$9)))))))</f>
        <v/>
      </c>
      <c r="AT35" s="66"/>
      <c r="AU35" s="143"/>
      <c r="AV35" s="98" t="str" cm="1">
        <f t="array" aca="1" ref="AV35" ca="1">IF(AND($F35:$G35&lt;&gt;"", $I35:$K35&lt;&gt;"",
                 IF(OR($M35=$BM$9,$O35=$BM$9), TRUE, $L35&lt;&gt;""),
                 $M35&lt;&gt;"",$O35&lt;&gt;"",
                 IF($T35=$BM$9, TRUE, $Q35:$R35&lt;&gt;""),
                 IF(AND($BL35&lt;&gt;"", $BL35&lt;&gt;マスタ!$C$5, $BL35&lt;&gt;マスタ!$C$8), TRUE, $T35&lt;&gt;""),
                 IF(OR(AND($T35=$BM$9,  $Y35=$BO$9), $Y35=$BM$9), TRUE,$W35&lt;&gt;""),
                 IF(AND($BL35&lt;&gt;"", $BL35&lt;&gt;マスタ!$C$5, $BL35&lt;&gt;マスタ!$C$8), TRUE, $Y35&lt;&gt;""),
                 $AA35&lt;&gt;"",
                 IF($AA35=マスタ!$F$4, TRUE, $AB35&lt;&gt;""),
                 $AG35:$AO35&lt;&gt;"", $AQ35&lt;&gt;"", $AT35&lt;&gt;""),
        "（正常）入力済み", IF($C35= "", "（複数入力）未入力", "（エラー）一部未入力"))</f>
        <v>（複数入力）未入力</v>
      </c>
      <c r="AW35" s="98" t="str">
        <f t="shared" ca="1" si="6"/>
        <v/>
      </c>
      <c r="AX35" s="98" t="str">
        <f t="shared" ca="1" si="7"/>
        <v/>
      </c>
      <c r="AY35" s="98" t="str">
        <f t="shared" ca="1" si="8"/>
        <v/>
      </c>
      <c r="AZ35" s="98" t="str">
        <f t="shared" ca="1" si="9"/>
        <v/>
      </c>
      <c r="BA35" s="98" t="str">
        <f t="shared" ca="1" si="10"/>
        <v/>
      </c>
      <c r="BB35" s="98" t="str">
        <f t="shared" ca="1" si="11"/>
        <v/>
      </c>
      <c r="BC35" s="98" t="str">
        <f t="shared" ca="1" si="12"/>
        <v/>
      </c>
      <c r="BD35" s="98" t="str">
        <f t="shared" ca="1" si="13"/>
        <v/>
      </c>
      <c r="BE35" s="98" t="str">
        <f>IF($BL35="","",
   IF($T35=入力不可用2,
      IF(OR($BL35=マスタ!$C$5,$BL35=マスタ!$C$8), "未入力", "（正常）規定値"),
      IF(OR($BL35=マスタ!$C$5,$BL35=マスタ!$C$8), "（正常）規定値", "（エラー）値入力不可")))</f>
        <v/>
      </c>
      <c r="BF35" s="98" t="str">
        <f ca="1">IF($C35 = "", "",
       IF(AND(OR($BL35=マスタ!$C$5, $BL35=マスタ!$C$8), $T35 = ""), "未入力",
            IF(AND($Y35 = $BM$9, $T35 = $BO$9), "（エラー）「適合」のみ入力可", "（正常）規定値")))</f>
        <v/>
      </c>
      <c r="BG35" s="98" t="str">
        <f t="shared" ca="1" si="14"/>
        <v/>
      </c>
      <c r="BH35" s="98" t="str">
        <f t="shared" ca="1" si="15"/>
        <v/>
      </c>
      <c r="BI35" s="98" t="str">
        <f>IF($BL35="","",
   IF($Y35=入力不可用2,
      IF(OR($BL35=マスタ!$C$5,$BL35=マスタ!$C$8), "未入力", "（正常）規定値"),
      IF(OR($BL35=マスタ!$C$5,$BL35=マスタ!$C$8), "（正常）規定値", "（エラー）値入力不可")))</f>
        <v/>
      </c>
      <c r="BJ35" s="98" t="str">
        <f>IF($AA35="", "",
        IF($AA35=マスタ!$F$3,
             IF($AB35="", "未入力", "（正常）規定値"),
                  IF($AA35=マスタ!$F$4,
                       IF($AB35&lt;&gt;入力不可用2, "（エラー）値入力不可", "（正常）規定値"))))</f>
        <v/>
      </c>
      <c r="BL35" s="75" t="str">
        <f>IF(OR($F35 = マスタ!$C$5, F35 = マスタ!$C$8), $F35,
        IF(AND($F35 = マスタ!$C$3, 'その１事業者基本情報_入力シート（一部非公開）'!$U$16), $F35,
             IF(AND($F35 = マスタ!$C$4, 'その１事業者基本情報_入力シート（一部非公開）'!$S$16), $F35,
                  IF(AND(OR($F35 = マスタ!$C$6, $F35 = マスタ!$C$7),
                                'その１事業者基本情報_入力シート（一部非公開）'!$W$16), $F35,
                       IF(OR($F35 = マスタ!$C$3, $F35=マスタ!$C$4), マスタ!$C$5,
                            IF(OR($F35 = マスタ!$C$6, $F35 = マスタ!$C$7), マスタ!$C$8, ""))))))</f>
        <v/>
      </c>
      <c r="BM35" s="75" t="str">
        <f>IF($L35&lt;&gt;"", $L35,
       IF($M35 = マスタ!$B$3,
          IF(OR($F35=マスタ!$C$3,$F35=マスタ!$C$4,$F35=マスタ!$C$5),
            IF(OR($G35 = マスタ!$D$54, $G35 = マスタ!$D$55), 0.75, 0.87),
            IF(OR($G35 = マスタ!$D$54, $G35 = マスタ!$D$55), 0.62, 0.72)),
                 IF(ISBLANK($L35), "", $L35)))</f>
        <v/>
      </c>
      <c r="BN35" s="99" t="str">
        <f>IF($L35&lt;&gt;"", $L35,
        IF($O35 = マスタ!$B$3,
          IF(OR($F35=マスタ!$C$3,$F35=マスタ!$C$4,$F35=マスタ!$C$5), 0.6, 0.5),
             IF(ISBLANK($L35), "", $L35)))</f>
        <v/>
      </c>
      <c r="BO35" s="99" t="str">
        <f>IF($T35&lt;&gt;マスタ!$B$3,
        IF(ISBLANK($S35),"",$S35),
             IF($BL35=マスタ!$C$3,0.8,
             IF($BL35=マスタ!$C$4,0.85,
             IF($BL35=マスタ!$C$6,0.9,
             IF($BL35=マスタ!$C$7,0.9,
             IF($BL35=マスタ!$C$5,1,
             IF($BL35=マスタ!$C$8,1,"無効な入力")))))))</f>
        <v/>
      </c>
      <c r="BP35" s="99" t="str">
        <f>IF($Y35&lt;&gt;マスタ!$B$3,
   IF(ISBLANK($X35), "", $X35),
   IF($BL35=マスタ!$C$3, 0.75,
      IF($BL35=マスタ!$C$4, 0.8,
         IF($BL35=マスタ!$C$6, 0.8,
            IF($BL35=マスタ!$C$7, 0.8,
               IF($BL35=マスタ!$C$5, 0.8,
                  IF($BL35=マスタ!$C$8, 0.8, "無効な入力")))))))</f>
        <v/>
      </c>
      <c r="BQ35" s="75"/>
      <c r="BR35" s="75"/>
      <c r="BS35" s="75"/>
      <c r="BT35" s="75"/>
      <c r="BU35" s="75"/>
      <c r="BV35" s="75"/>
      <c r="BW35" s="75"/>
      <c r="BX35" s="75"/>
      <c r="BY35" s="75"/>
    </row>
    <row r="36" spans="3:77" ht="30.75" customHeight="1">
      <c r="C36" s="69" t="str" cm="1">
        <f t="array" aca="1" ref="C36" ca="1">IF(SUMPRODUCT(--($D36:$AU36 &lt;&gt; "")),RIGHT(YEAR(TODAY()),2)&amp;"01"&amp;REPT("0",4-LEN(ROW()-11))&amp;ROW()-11,"")</f>
        <v/>
      </c>
      <c r="D36" s="141"/>
      <c r="E36" s="142"/>
      <c r="F36" s="71"/>
      <c r="G36" s="66"/>
      <c r="H36" s="41" t="str">
        <f>IFERROR(VLOOKUP(G36,マスタ!$D$3:$E$55,2,FALSE),"")</f>
        <v/>
      </c>
      <c r="I36" s="93"/>
      <c r="J36" s="77"/>
      <c r="K36" s="66"/>
      <c r="L36" s="103"/>
      <c r="M36" s="71"/>
      <c r="N36" s="101" t="str">
        <f>IF($M36 = $BM$9, $BM$9,
        IF($L36 = "", "",
              IF(OR(
                          AND(OR($G36 = マスタ!$D$54, $G36 = マスタ!$D$55), $L36 &lt;= $BP$9),
                          AND($G36 &lt;&gt; マスタ!$D$54, $G36 &lt;&gt; マスタ!$D$55, $L36 &lt;= $BQ$9)
                         ), $BM$9, $BN$9)))</f>
        <v/>
      </c>
      <c r="O36" s="71"/>
      <c r="P36" s="101" t="str">
        <f t="shared" si="1"/>
        <v/>
      </c>
      <c r="Q36" s="124"/>
      <c r="R36" s="124"/>
      <c r="S36" s="112" t="str">
        <f t="shared" si="17"/>
        <v/>
      </c>
      <c r="T36" s="71"/>
      <c r="U36" s="41" t="str">
        <f>IF($T36=$BM$9, $BM$9,
        IF($S36="", "",
             IF(OR(AND($BL36=マスタ!$C$3, $S36&lt;=$BS$9),
                        AND($BL36=マスタ!$C$4, $S36&lt;=$BT$9),
                        AND(OR($BL36=マスタ!$C$6, $BL36=マスタ!$C$7), $S36&lt;=$BU$9),
                        AND(OR($BL36=マスタ!$C$5, $BL36=マスタ!$C$8), $S36&lt;=$BV$9)),
                  $BM$9, $BN$9)))</f>
        <v/>
      </c>
      <c r="V36" s="129" t="str">
        <f t="shared" si="16"/>
        <v/>
      </c>
      <c r="W36" s="124"/>
      <c r="X36" s="112" t="str">
        <f t="shared" si="18"/>
        <v/>
      </c>
      <c r="Y36" s="71"/>
      <c r="Z36" s="41" t="str">
        <f>IF($Y36=$BM$9, $BM$9,
        IF(AND($T36 = $BM$9, $Y36 = $BO$9), $BN$9,
             IF($BL36=マスタ!$C$3,
                  IF($X36&lt;=$BW$9, $BM$9,$BN$9),
                       IF(OR($BL36=マスタ!$C$4, $BL36=マスタ!$C$5, $BL36=マスタ!$C$6, $BL36=マスタ!$C$7, $BL36=マスタ!$C$8),
                            IF($X36&lt;=$BX$9, $BM$9,$BN$9), ""))))</f>
        <v/>
      </c>
      <c r="AA36" s="71"/>
      <c r="AB36" s="71"/>
      <c r="AC36" s="71"/>
      <c r="AD36" s="165"/>
      <c r="AE36" s="71"/>
      <c r="AF36" s="165"/>
      <c r="AG36" s="92"/>
      <c r="AH36" s="92"/>
      <c r="AI36" s="92"/>
      <c r="AJ36" s="92"/>
      <c r="AK36" s="121"/>
      <c r="AL36" s="121"/>
      <c r="AM36" s="121"/>
      <c r="AN36" s="121"/>
      <c r="AO36" s="92"/>
      <c r="AP36" s="130" t="str">
        <f t="shared" si="5"/>
        <v/>
      </c>
      <c r="AQ36" s="121"/>
      <c r="AR36" s="101" t="str">
        <f>IF(OR(SUMPRODUCT(--(AJ36:AQ36&lt;&gt;""))&lt;7,AND($AJ36=マスタ!$N$3,$AK36="")), "",
        IF($AJ36=マスタ!$N$5, $BO$9,
              IF(OR($F36=マスタ!$C$3, $F36=マスタ!$C$4, $F36=マスタ!$C$5),
                    IF(SUM($AL36,$AM36,$AP36,$AQ36)&gt;=1, $BM$9, $BN$9),
              IF(OR($F36=マスタ!$C$6, $F36=マスタ!$C$7, $F36=マスタ!$C$8),
                    IF($AK36&lt;10, $BO$9,
                          IF(AND(SUM($AL36,$AM36,$AP36,$AQ36)&gt;=($AK36*0.2), $AM36+$AP36+$AQ36&gt;=1),
                               $BM$9,$BN$9))))))</f>
        <v/>
      </c>
      <c r="AS36" s="101" t="str">
        <f>IF(OR(SUMPRODUCT(--(AJ36:AQ36&lt;&gt;""))&lt;7,AND($AJ36=マスタ!$N$3,$AK36="")), "",
     IF($AR36=$BN$9,$BN$9,
        IF($AJ36=マスタ!$N$5, $BO$9,
             IF(OR($F36=マスタ!$C$3, $F36=マスタ!$C$4, $F36=マスタ!$C$5),
                   IF($AQ36&gt;=1, $BM$9, $BN$9),
             IF(OR($F36=マスタ!$C$6, $F36=マスタ!$C$7, $F36=マスタ!$C$8),
                   IF($AK36&lt;5, IF($AQ36&gt;=1, $BM$9, $BN$9),
                         IF(OR($AQ36&gt;=1,
                                    AND(SUM($AL36,$AM36,$AP36,$AQ36)&gt;=$AK36*0.5, ($AM36+$AP36+$AQ36)&gt;=($AK36*0.2))),
                              $BM$9,$BN$9)))))))</f>
        <v/>
      </c>
      <c r="AT36" s="66"/>
      <c r="AU36" s="143"/>
      <c r="AV36" s="98" t="str" cm="1">
        <f t="array" aca="1" ref="AV36" ca="1">IF(AND($F36:$G36&lt;&gt;"", $I36:$K36&lt;&gt;"",
                 IF(OR($M36=$BM$9,$O36=$BM$9), TRUE, $L36&lt;&gt;""),
                 $M36&lt;&gt;"",$O36&lt;&gt;"",
                 IF($T36=$BM$9, TRUE, $Q36:$R36&lt;&gt;""),
                 IF(AND($BL36&lt;&gt;"", $BL36&lt;&gt;マスタ!$C$5, $BL36&lt;&gt;マスタ!$C$8), TRUE, $T36&lt;&gt;""),
                 IF(OR(AND($T36=$BM$9,  $Y36=$BO$9), $Y36=$BM$9), TRUE,$W36&lt;&gt;""),
                 IF(AND($BL36&lt;&gt;"", $BL36&lt;&gt;マスタ!$C$5, $BL36&lt;&gt;マスタ!$C$8), TRUE, $Y36&lt;&gt;""),
                 $AA36&lt;&gt;"",
                 IF($AA36=マスタ!$F$4, TRUE, $AB36&lt;&gt;""),
                 $AG36:$AO36&lt;&gt;"", $AQ36&lt;&gt;"", $AT36&lt;&gt;""),
        "（正常）入力済み", IF($C36= "", "（複数入力）未入力", "（エラー）一部未入力"))</f>
        <v>（複数入力）未入力</v>
      </c>
      <c r="AW36" s="98" t="str">
        <f t="shared" ca="1" si="6"/>
        <v/>
      </c>
      <c r="AX36" s="98" t="str">
        <f t="shared" ca="1" si="7"/>
        <v/>
      </c>
      <c r="AY36" s="98" t="str">
        <f t="shared" ca="1" si="8"/>
        <v/>
      </c>
      <c r="AZ36" s="98" t="str">
        <f t="shared" ca="1" si="9"/>
        <v/>
      </c>
      <c r="BA36" s="98" t="str">
        <f t="shared" ca="1" si="10"/>
        <v/>
      </c>
      <c r="BB36" s="98" t="str">
        <f t="shared" ca="1" si="11"/>
        <v/>
      </c>
      <c r="BC36" s="98" t="str">
        <f t="shared" ca="1" si="12"/>
        <v/>
      </c>
      <c r="BD36" s="98" t="str">
        <f t="shared" ca="1" si="13"/>
        <v/>
      </c>
      <c r="BE36" s="98" t="str">
        <f>IF($BL36="","",
   IF($T36=入力不可用2,
      IF(OR($BL36=マスタ!$C$5,$BL36=マスタ!$C$8), "未入力", "（正常）規定値"),
      IF(OR($BL36=マスタ!$C$5,$BL36=マスタ!$C$8), "（正常）規定値", "（エラー）値入力不可")))</f>
        <v/>
      </c>
      <c r="BF36" s="98" t="str">
        <f ca="1">IF($C36 = "", "",
       IF(AND(OR($BL36=マスタ!$C$5, $BL36=マスタ!$C$8), $T36 = ""), "未入力",
            IF(AND($Y36 = $BM$9, $T36 = $BO$9), "（エラー）「適合」のみ入力可", "（正常）規定値")))</f>
        <v/>
      </c>
      <c r="BG36" s="98" t="str">
        <f t="shared" ca="1" si="14"/>
        <v/>
      </c>
      <c r="BH36" s="98" t="str">
        <f t="shared" ca="1" si="15"/>
        <v/>
      </c>
      <c r="BI36" s="98" t="str">
        <f>IF($BL36="","",
   IF($Y36=入力不可用2,
      IF(OR($BL36=マスタ!$C$5,$BL36=マスタ!$C$8), "未入力", "（正常）規定値"),
      IF(OR($BL36=マスタ!$C$5,$BL36=マスタ!$C$8), "（正常）規定値", "（エラー）値入力不可")))</f>
        <v/>
      </c>
      <c r="BJ36" s="98" t="str">
        <f>IF($AA36="", "",
        IF($AA36=マスタ!$F$3,
             IF($AB36="", "未入力", "（正常）規定値"),
                  IF($AA36=マスタ!$F$4,
                       IF($AB36&lt;&gt;入力不可用2, "（エラー）値入力不可", "（正常）規定値"))))</f>
        <v/>
      </c>
      <c r="BL36" s="75" t="str">
        <f>IF(OR($F36 = マスタ!$C$5, F36 = マスタ!$C$8), $F36,
        IF(AND($F36 = マスタ!$C$3, 'その１事業者基本情報_入力シート（一部非公開）'!$U$16), $F36,
             IF(AND($F36 = マスタ!$C$4, 'その１事業者基本情報_入力シート（一部非公開）'!$S$16), $F36,
                  IF(AND(OR($F36 = マスタ!$C$6, $F36 = マスタ!$C$7),
                                'その１事業者基本情報_入力シート（一部非公開）'!$W$16), $F36,
                       IF(OR($F36 = マスタ!$C$3, $F36=マスタ!$C$4), マスタ!$C$5,
                            IF(OR($F36 = マスタ!$C$6, $F36 = マスタ!$C$7), マスタ!$C$8, ""))))))</f>
        <v/>
      </c>
      <c r="BM36" s="75" t="str">
        <f>IF($L36&lt;&gt;"", $L36,
       IF($M36 = マスタ!$B$3,
          IF(OR($F36=マスタ!$C$3,$F36=マスタ!$C$4,$F36=マスタ!$C$5),
            IF(OR($G36 = マスタ!$D$54, $G36 = マスタ!$D$55), 0.75, 0.87),
            IF(OR($G36 = マスタ!$D$54, $G36 = マスタ!$D$55), 0.62, 0.72)),
                 IF(ISBLANK($L36), "", $L36)))</f>
        <v/>
      </c>
      <c r="BN36" s="99" t="str">
        <f>IF($L36&lt;&gt;"", $L36,
        IF($O36 = マスタ!$B$3,
          IF(OR($F36=マスタ!$C$3,$F36=マスタ!$C$4,$F36=マスタ!$C$5), 0.6, 0.5),
             IF(ISBLANK($L36), "", $L36)))</f>
        <v/>
      </c>
      <c r="BO36" s="99" t="str">
        <f>IF($T36&lt;&gt;マスタ!$B$3,
        IF(ISBLANK($S36),"",$S36),
             IF($BL36=マスタ!$C$3,0.8,
             IF($BL36=マスタ!$C$4,0.85,
             IF($BL36=マスタ!$C$6,0.9,
             IF($BL36=マスタ!$C$7,0.9,
             IF($BL36=マスタ!$C$5,1,
             IF($BL36=マスタ!$C$8,1,"無効な入力")))))))</f>
        <v/>
      </c>
      <c r="BP36" s="99" t="str">
        <f>IF($Y36&lt;&gt;マスタ!$B$3,
   IF(ISBLANK($X36), "", $X36),
   IF($BL36=マスタ!$C$3, 0.75,
      IF($BL36=マスタ!$C$4, 0.8,
         IF($BL36=マスタ!$C$6, 0.8,
            IF($BL36=マスタ!$C$7, 0.8,
               IF($BL36=マスタ!$C$5, 0.8,
                  IF($BL36=マスタ!$C$8, 0.8, "無効な入力")))))))</f>
        <v/>
      </c>
      <c r="BQ36" s="75"/>
      <c r="BR36" s="75"/>
      <c r="BS36" s="75"/>
      <c r="BT36" s="75"/>
      <c r="BU36" s="75"/>
      <c r="BV36" s="75"/>
      <c r="BW36" s="75"/>
      <c r="BX36" s="75"/>
      <c r="BY36" s="75"/>
    </row>
    <row r="37" spans="3:77" ht="30.75" customHeight="1">
      <c r="C37" s="69" t="str" cm="1">
        <f t="array" aca="1" ref="C37" ca="1">IF(SUMPRODUCT(--($D37:$AU37 &lt;&gt; "")),RIGHT(YEAR(TODAY()),2)&amp;"01"&amp;REPT("0",4-LEN(ROW()-11))&amp;ROW()-11,"")</f>
        <v/>
      </c>
      <c r="D37" s="141"/>
      <c r="E37" s="142"/>
      <c r="F37" s="71"/>
      <c r="G37" s="66"/>
      <c r="H37" s="41" t="str">
        <f>IFERROR(VLOOKUP(G37,マスタ!$D$3:$E$55,2,FALSE),"")</f>
        <v/>
      </c>
      <c r="I37" s="93"/>
      <c r="J37" s="77"/>
      <c r="K37" s="66"/>
      <c r="L37" s="103"/>
      <c r="M37" s="71"/>
      <c r="N37" s="101" t="str">
        <f>IF($M37 = $BM$9, $BM$9,
        IF($L37 = "", "",
              IF(OR(
                          AND(OR($G37 = マスタ!$D$54, $G37 = マスタ!$D$55), $L37 &lt;= $BP$9),
                          AND($G37 &lt;&gt; マスタ!$D$54, $G37 &lt;&gt; マスタ!$D$55, $L37 &lt;= $BQ$9)
                         ), $BM$9, $BN$9)))</f>
        <v/>
      </c>
      <c r="O37" s="71"/>
      <c r="P37" s="101" t="str">
        <f t="shared" si="1"/>
        <v/>
      </c>
      <c r="Q37" s="124"/>
      <c r="R37" s="124"/>
      <c r="S37" s="112" t="str">
        <f t="shared" si="17"/>
        <v/>
      </c>
      <c r="T37" s="71"/>
      <c r="U37" s="41" t="str">
        <f>IF($T37=$BM$9, $BM$9,
        IF($S37="", "",
             IF(OR(AND($BL37=マスタ!$C$3, $S37&lt;=$BS$9),
                        AND($BL37=マスタ!$C$4, $S37&lt;=$BT$9),
                        AND(OR($BL37=マスタ!$C$6, $BL37=マスタ!$C$7), $S37&lt;=$BU$9),
                        AND(OR($BL37=マスタ!$C$5, $BL37=マスタ!$C$8), $S37&lt;=$BV$9)),
                  $BM$9, $BN$9)))</f>
        <v/>
      </c>
      <c r="V37" s="129" t="str">
        <f t="shared" si="16"/>
        <v/>
      </c>
      <c r="W37" s="124"/>
      <c r="X37" s="112" t="str">
        <f t="shared" si="18"/>
        <v/>
      </c>
      <c r="Y37" s="71"/>
      <c r="Z37" s="41" t="str">
        <f>IF($Y37=$BM$9, $BM$9,
        IF(AND($T37 = $BM$9, $Y37 = $BO$9), $BN$9,
             IF($BL37=マスタ!$C$3,
                  IF($X37&lt;=$BW$9, $BM$9,$BN$9),
                       IF(OR($BL37=マスタ!$C$4, $BL37=マスタ!$C$5, $BL37=マスタ!$C$6, $BL37=マスタ!$C$7, $BL37=マスタ!$C$8),
                            IF($X37&lt;=$BX$9, $BM$9,$BN$9), ""))))</f>
        <v/>
      </c>
      <c r="AA37" s="71"/>
      <c r="AB37" s="71"/>
      <c r="AC37" s="71"/>
      <c r="AD37" s="165"/>
      <c r="AE37" s="71"/>
      <c r="AF37" s="165"/>
      <c r="AG37" s="92"/>
      <c r="AH37" s="92"/>
      <c r="AI37" s="92"/>
      <c r="AJ37" s="92"/>
      <c r="AK37" s="121"/>
      <c r="AL37" s="121"/>
      <c r="AM37" s="121"/>
      <c r="AN37" s="121"/>
      <c r="AO37" s="92"/>
      <c r="AP37" s="130" t="str">
        <f t="shared" si="5"/>
        <v/>
      </c>
      <c r="AQ37" s="121"/>
      <c r="AR37" s="101" t="str">
        <f>IF(OR(SUMPRODUCT(--(AJ37:AQ37&lt;&gt;""))&lt;7,AND($AJ37=マスタ!$N$3,$AK37="")), "",
        IF($AJ37=マスタ!$N$5, $BO$9,
              IF(OR($F37=マスタ!$C$3, $F37=マスタ!$C$4, $F37=マスタ!$C$5),
                    IF(SUM($AL37,$AM37,$AP37,$AQ37)&gt;=1, $BM$9, $BN$9),
              IF(OR($F37=マスタ!$C$6, $F37=マスタ!$C$7, $F37=マスタ!$C$8),
                    IF($AK37&lt;10, $BO$9,
                          IF(AND(SUM($AL37,$AM37,$AP37,$AQ37)&gt;=($AK37*0.2), $AM37+$AP37+$AQ37&gt;=1),
                               $BM$9,$BN$9))))))</f>
        <v/>
      </c>
      <c r="AS37" s="101" t="str">
        <f>IF(OR(SUMPRODUCT(--(AJ37:AQ37&lt;&gt;""))&lt;7,AND($AJ37=マスタ!$N$3,$AK37="")), "",
     IF($AR37=$BN$9,$BN$9,
        IF($AJ37=マスタ!$N$5, $BO$9,
             IF(OR($F37=マスタ!$C$3, $F37=マスタ!$C$4, $F37=マスタ!$C$5),
                   IF($AQ37&gt;=1, $BM$9, $BN$9),
             IF(OR($F37=マスタ!$C$6, $F37=マスタ!$C$7, $F37=マスタ!$C$8),
                   IF($AK37&lt;5, IF($AQ37&gt;=1, $BM$9, $BN$9),
                         IF(OR($AQ37&gt;=1,
                                    AND(SUM($AL37,$AM37,$AP37,$AQ37)&gt;=$AK37*0.5, ($AM37+$AP37+$AQ37)&gt;=($AK37*0.2))),
                              $BM$9,$BN$9)))))))</f>
        <v/>
      </c>
      <c r="AT37" s="66"/>
      <c r="AU37" s="143"/>
      <c r="AV37" s="98" t="str" cm="1">
        <f t="array" aca="1" ref="AV37" ca="1">IF(AND($F37:$G37&lt;&gt;"", $I37:$K37&lt;&gt;"",
                 IF(OR($M37=$BM$9,$O37=$BM$9), TRUE, $L37&lt;&gt;""),
                 $M37&lt;&gt;"",$O37&lt;&gt;"",
                 IF($T37=$BM$9, TRUE, $Q37:$R37&lt;&gt;""),
                 IF(AND($BL37&lt;&gt;"", $BL37&lt;&gt;マスタ!$C$5, $BL37&lt;&gt;マスタ!$C$8), TRUE, $T37&lt;&gt;""),
                 IF(OR(AND($T37=$BM$9,  $Y37=$BO$9), $Y37=$BM$9), TRUE,$W37&lt;&gt;""),
                 IF(AND($BL37&lt;&gt;"", $BL37&lt;&gt;マスタ!$C$5, $BL37&lt;&gt;マスタ!$C$8), TRUE, $Y37&lt;&gt;""),
                 $AA37&lt;&gt;"",
                 IF($AA37=マスタ!$F$4, TRUE, $AB37&lt;&gt;""),
                 $AG37:$AO37&lt;&gt;"", $AQ37&lt;&gt;"", $AT37&lt;&gt;""),
        "（正常）入力済み", IF($C37= "", "（複数入力）未入力", "（エラー）一部未入力"))</f>
        <v>（複数入力）未入力</v>
      </c>
      <c r="AW37" s="98" t="str">
        <f t="shared" ca="1" si="6"/>
        <v/>
      </c>
      <c r="AX37" s="98" t="str">
        <f t="shared" ca="1" si="7"/>
        <v/>
      </c>
      <c r="AY37" s="98" t="str">
        <f t="shared" ca="1" si="8"/>
        <v/>
      </c>
      <c r="AZ37" s="98" t="str">
        <f t="shared" ca="1" si="9"/>
        <v/>
      </c>
      <c r="BA37" s="98" t="str">
        <f t="shared" ca="1" si="10"/>
        <v/>
      </c>
      <c r="BB37" s="98" t="str">
        <f t="shared" ca="1" si="11"/>
        <v/>
      </c>
      <c r="BC37" s="98" t="str">
        <f t="shared" ca="1" si="12"/>
        <v/>
      </c>
      <c r="BD37" s="98" t="str">
        <f t="shared" ca="1" si="13"/>
        <v/>
      </c>
      <c r="BE37" s="98" t="str">
        <f>IF($BL37="","",
   IF($T37=入力不可用2,
      IF(OR($BL37=マスタ!$C$5,$BL37=マスタ!$C$8), "未入力", "（正常）規定値"),
      IF(OR($BL37=マスタ!$C$5,$BL37=マスタ!$C$8), "（正常）規定値", "（エラー）値入力不可")))</f>
        <v/>
      </c>
      <c r="BF37" s="98" t="str">
        <f ca="1">IF($C37 = "", "",
       IF(AND(OR($BL37=マスタ!$C$5, $BL37=マスタ!$C$8), $T37 = ""), "未入力",
            IF(AND($Y37 = $BM$9, $T37 = $BO$9), "（エラー）「適合」のみ入力可", "（正常）規定値")))</f>
        <v/>
      </c>
      <c r="BG37" s="98" t="str">
        <f t="shared" ca="1" si="14"/>
        <v/>
      </c>
      <c r="BH37" s="98" t="str">
        <f t="shared" ca="1" si="15"/>
        <v/>
      </c>
      <c r="BI37" s="98" t="str">
        <f>IF($BL37="","",
   IF($Y37=入力不可用2,
      IF(OR($BL37=マスタ!$C$5,$BL37=マスタ!$C$8), "未入力", "（正常）規定値"),
      IF(OR($BL37=マスタ!$C$5,$BL37=マスタ!$C$8), "（正常）規定値", "（エラー）値入力不可")))</f>
        <v/>
      </c>
      <c r="BJ37" s="98" t="str">
        <f>IF($AA37="", "",
        IF($AA37=マスタ!$F$3,
             IF($AB37="", "未入力", "（正常）規定値"),
                  IF($AA37=マスタ!$F$4,
                       IF($AB37&lt;&gt;入力不可用2, "（エラー）値入力不可", "（正常）規定値"))))</f>
        <v/>
      </c>
      <c r="BL37" s="75" t="str">
        <f>IF(OR($F37 = マスタ!$C$5, F37 = マスタ!$C$8), $F37,
        IF(AND($F37 = マスタ!$C$3, 'その１事業者基本情報_入力シート（一部非公開）'!$U$16), $F37,
             IF(AND($F37 = マスタ!$C$4, 'その１事業者基本情報_入力シート（一部非公開）'!$S$16), $F37,
                  IF(AND(OR($F37 = マスタ!$C$6, $F37 = マスタ!$C$7),
                                'その１事業者基本情報_入力シート（一部非公開）'!$W$16), $F37,
                       IF(OR($F37 = マスタ!$C$3, $F37=マスタ!$C$4), マスタ!$C$5,
                            IF(OR($F37 = マスタ!$C$6, $F37 = マスタ!$C$7), マスタ!$C$8, ""))))))</f>
        <v/>
      </c>
      <c r="BM37" s="75" t="str">
        <f>IF($L37&lt;&gt;"", $L37,
       IF($M37 = マスタ!$B$3,
          IF(OR($F37=マスタ!$C$3,$F37=マスタ!$C$4,$F37=マスタ!$C$5),
            IF(OR($G37 = マスタ!$D$54, $G37 = マスタ!$D$55), 0.75, 0.87),
            IF(OR($G37 = マスタ!$D$54, $G37 = マスタ!$D$55), 0.62, 0.72)),
                 IF(ISBLANK($L37), "", $L37)))</f>
        <v/>
      </c>
      <c r="BN37" s="99" t="str">
        <f>IF($L37&lt;&gt;"", $L37,
        IF($O37 = マスタ!$B$3,
          IF(OR($F37=マスタ!$C$3,$F37=マスタ!$C$4,$F37=マスタ!$C$5), 0.6, 0.5),
             IF(ISBLANK($L37), "", $L37)))</f>
        <v/>
      </c>
      <c r="BO37" s="99" t="str">
        <f>IF($T37&lt;&gt;マスタ!$B$3,
        IF(ISBLANK($S37),"",$S37),
             IF($BL37=マスタ!$C$3,0.8,
             IF($BL37=マスタ!$C$4,0.85,
             IF($BL37=マスタ!$C$6,0.9,
             IF($BL37=マスタ!$C$7,0.9,
             IF($BL37=マスタ!$C$5,1,
             IF($BL37=マスタ!$C$8,1,"無効な入力")))))))</f>
        <v/>
      </c>
      <c r="BP37" s="99" t="str">
        <f>IF($Y37&lt;&gt;マスタ!$B$3,
   IF(ISBLANK($X37), "", $X37),
   IF($BL37=マスタ!$C$3, 0.75,
      IF($BL37=マスタ!$C$4, 0.8,
         IF($BL37=マスタ!$C$6, 0.8,
            IF($BL37=マスタ!$C$7, 0.8,
               IF($BL37=マスタ!$C$5, 0.8,
                  IF($BL37=マスタ!$C$8, 0.8, "無効な入力")))))))</f>
        <v/>
      </c>
      <c r="BQ37" s="75"/>
      <c r="BR37" s="75"/>
      <c r="BS37" s="75"/>
      <c r="BT37" s="75"/>
      <c r="BU37" s="75"/>
      <c r="BV37" s="75"/>
      <c r="BW37" s="75"/>
      <c r="BX37" s="75"/>
      <c r="BY37" s="75"/>
    </row>
    <row r="38" spans="3:77" ht="30.75" customHeight="1">
      <c r="C38" s="69" t="str" cm="1">
        <f t="array" aca="1" ref="C38" ca="1">IF(SUMPRODUCT(--($D38:$AU38 &lt;&gt; "")),RIGHT(YEAR(TODAY()),2)&amp;"01"&amp;REPT("0",4-LEN(ROW()-11))&amp;ROW()-11,"")</f>
        <v/>
      </c>
      <c r="D38" s="141"/>
      <c r="E38" s="142"/>
      <c r="F38" s="71"/>
      <c r="G38" s="66"/>
      <c r="H38" s="41" t="str">
        <f>IFERROR(VLOOKUP(G38,マスタ!$D$3:$E$55,2,FALSE),"")</f>
        <v/>
      </c>
      <c r="I38" s="93"/>
      <c r="J38" s="77"/>
      <c r="K38" s="66"/>
      <c r="L38" s="103"/>
      <c r="M38" s="71"/>
      <c r="N38" s="101" t="str">
        <f>IF($M38 = $BM$9, $BM$9,
        IF($L38 = "", "",
              IF(OR(
                          AND(OR($G38 = マスタ!$D$54, $G38 = マスタ!$D$55), $L38 &lt;= $BP$9),
                          AND($G38 &lt;&gt; マスタ!$D$54, $G38 &lt;&gt; マスタ!$D$55, $L38 &lt;= $BQ$9)
                         ), $BM$9, $BN$9)))</f>
        <v/>
      </c>
      <c r="O38" s="71"/>
      <c r="P38" s="101" t="str">
        <f t="shared" si="1"/>
        <v/>
      </c>
      <c r="Q38" s="124"/>
      <c r="R38" s="124"/>
      <c r="S38" s="112" t="str">
        <f t="shared" si="17"/>
        <v/>
      </c>
      <c r="T38" s="71"/>
      <c r="U38" s="41" t="str">
        <f>IF($T38=$BM$9, $BM$9,
        IF($S38="", "",
             IF(OR(AND($BL38=マスタ!$C$3, $S38&lt;=$BS$9),
                        AND($BL38=マスタ!$C$4, $S38&lt;=$BT$9),
                        AND(OR($BL38=マスタ!$C$6, $BL38=マスタ!$C$7), $S38&lt;=$BU$9),
                        AND(OR($BL38=マスタ!$C$5, $BL38=マスタ!$C$8), $S38&lt;=$BV$9)),
                  $BM$9, $BN$9)))</f>
        <v/>
      </c>
      <c r="V38" s="129" t="str">
        <f t="shared" si="16"/>
        <v/>
      </c>
      <c r="W38" s="124"/>
      <c r="X38" s="112" t="str">
        <f t="shared" si="18"/>
        <v/>
      </c>
      <c r="Y38" s="71"/>
      <c r="Z38" s="41" t="str">
        <f>IF($Y38=$BM$9, $BM$9,
        IF(AND($T38 = $BM$9, $Y38 = $BO$9), $BN$9,
             IF($BL38=マスタ!$C$3,
                  IF($X38&lt;=$BW$9, $BM$9,$BN$9),
                       IF(OR($BL38=マスタ!$C$4, $BL38=マスタ!$C$5, $BL38=マスタ!$C$6, $BL38=マスタ!$C$7, $BL38=マスタ!$C$8),
                            IF($X38&lt;=$BX$9, $BM$9,$BN$9), ""))))</f>
        <v/>
      </c>
      <c r="AA38" s="71"/>
      <c r="AB38" s="71"/>
      <c r="AC38" s="71"/>
      <c r="AD38" s="165"/>
      <c r="AE38" s="71"/>
      <c r="AF38" s="165"/>
      <c r="AG38" s="92"/>
      <c r="AH38" s="92"/>
      <c r="AI38" s="92"/>
      <c r="AJ38" s="92"/>
      <c r="AK38" s="121"/>
      <c r="AL38" s="121"/>
      <c r="AM38" s="121"/>
      <c r="AN38" s="121"/>
      <c r="AO38" s="92"/>
      <c r="AP38" s="130" t="str">
        <f t="shared" si="5"/>
        <v/>
      </c>
      <c r="AQ38" s="121"/>
      <c r="AR38" s="101" t="str">
        <f>IF(OR(SUMPRODUCT(--(AJ38:AQ38&lt;&gt;""))&lt;7,AND($AJ38=マスタ!$N$3,$AK38="")), "",
        IF($AJ38=マスタ!$N$5, $BO$9,
              IF(OR($F38=マスタ!$C$3, $F38=マスタ!$C$4, $F38=マスタ!$C$5),
                    IF(SUM($AL38,$AM38,$AP38,$AQ38)&gt;=1, $BM$9, $BN$9),
              IF(OR($F38=マスタ!$C$6, $F38=マスタ!$C$7, $F38=マスタ!$C$8),
                    IF($AK38&lt;10, $BO$9,
                          IF(AND(SUM($AL38,$AM38,$AP38,$AQ38)&gt;=($AK38*0.2), $AM38+$AP38+$AQ38&gt;=1),
                               $BM$9,$BN$9))))))</f>
        <v/>
      </c>
      <c r="AS38" s="101" t="str">
        <f>IF(OR(SUMPRODUCT(--(AJ38:AQ38&lt;&gt;""))&lt;7,AND($AJ38=マスタ!$N$3,$AK38="")), "",
     IF($AR38=$BN$9,$BN$9,
        IF($AJ38=マスタ!$N$5, $BO$9,
             IF(OR($F38=マスタ!$C$3, $F38=マスタ!$C$4, $F38=マスタ!$C$5),
                   IF($AQ38&gt;=1, $BM$9, $BN$9),
             IF(OR($F38=マスタ!$C$6, $F38=マスタ!$C$7, $F38=マスタ!$C$8),
                   IF($AK38&lt;5, IF($AQ38&gt;=1, $BM$9, $BN$9),
                         IF(OR($AQ38&gt;=1,
                                    AND(SUM($AL38,$AM38,$AP38,$AQ38)&gt;=$AK38*0.5, ($AM38+$AP38+$AQ38)&gt;=($AK38*0.2))),
                              $BM$9,$BN$9)))))))</f>
        <v/>
      </c>
      <c r="AT38" s="66"/>
      <c r="AU38" s="143"/>
      <c r="AV38" s="98" t="str" cm="1">
        <f t="array" aca="1" ref="AV38" ca="1">IF(AND($F38:$G38&lt;&gt;"", $I38:$K38&lt;&gt;"",
                 IF(OR($M38=$BM$9,$O38=$BM$9), TRUE, $L38&lt;&gt;""),
                 $M38&lt;&gt;"",$O38&lt;&gt;"",
                 IF($T38=$BM$9, TRUE, $Q38:$R38&lt;&gt;""),
                 IF(AND($BL38&lt;&gt;"", $BL38&lt;&gt;マスタ!$C$5, $BL38&lt;&gt;マスタ!$C$8), TRUE, $T38&lt;&gt;""),
                 IF(OR(AND($T38=$BM$9,  $Y38=$BO$9), $Y38=$BM$9), TRUE,$W38&lt;&gt;""),
                 IF(AND($BL38&lt;&gt;"", $BL38&lt;&gt;マスタ!$C$5, $BL38&lt;&gt;マスタ!$C$8), TRUE, $Y38&lt;&gt;""),
                 $AA38&lt;&gt;"",
                 IF($AA38=マスタ!$F$4, TRUE, $AB38&lt;&gt;""),
                 $AG38:$AO38&lt;&gt;"", $AQ38&lt;&gt;"", $AT38&lt;&gt;""),
        "（正常）入力済み", IF($C38= "", "（複数入力）未入力", "（エラー）一部未入力"))</f>
        <v>（複数入力）未入力</v>
      </c>
      <c r="AW38" s="98" t="str">
        <f t="shared" ca="1" si="6"/>
        <v/>
      </c>
      <c r="AX38" s="98" t="str">
        <f t="shared" ca="1" si="7"/>
        <v/>
      </c>
      <c r="AY38" s="98" t="str">
        <f t="shared" ca="1" si="8"/>
        <v/>
      </c>
      <c r="AZ38" s="98" t="str">
        <f t="shared" ca="1" si="9"/>
        <v/>
      </c>
      <c r="BA38" s="98" t="str">
        <f t="shared" ca="1" si="10"/>
        <v/>
      </c>
      <c r="BB38" s="98" t="str">
        <f t="shared" ca="1" si="11"/>
        <v/>
      </c>
      <c r="BC38" s="98" t="str">
        <f t="shared" ca="1" si="12"/>
        <v/>
      </c>
      <c r="BD38" s="98" t="str">
        <f t="shared" ca="1" si="13"/>
        <v/>
      </c>
      <c r="BE38" s="98" t="str">
        <f>IF($BL38="","",
   IF($T38=入力不可用2,
      IF(OR($BL38=マスタ!$C$5,$BL38=マスタ!$C$8), "未入力", "（正常）規定値"),
      IF(OR($BL38=マスタ!$C$5,$BL38=マスタ!$C$8), "（正常）規定値", "（エラー）値入力不可")))</f>
        <v/>
      </c>
      <c r="BF38" s="98" t="str">
        <f ca="1">IF($C38 = "", "",
       IF(AND(OR($BL38=マスタ!$C$5, $BL38=マスタ!$C$8), $T38 = ""), "未入力",
            IF(AND($Y38 = $BM$9, $T38 = $BO$9), "（エラー）「適合」のみ入力可", "（正常）規定値")))</f>
        <v/>
      </c>
      <c r="BG38" s="98" t="str">
        <f t="shared" ca="1" si="14"/>
        <v/>
      </c>
      <c r="BH38" s="98" t="str">
        <f t="shared" ca="1" si="15"/>
        <v/>
      </c>
      <c r="BI38" s="98" t="str">
        <f>IF($BL38="","",
   IF($Y38=入力不可用2,
      IF(OR($BL38=マスタ!$C$5,$BL38=マスタ!$C$8), "未入力", "（正常）規定値"),
      IF(OR($BL38=マスタ!$C$5,$BL38=マスタ!$C$8), "（正常）規定値", "（エラー）値入力不可")))</f>
        <v/>
      </c>
      <c r="BJ38" s="98" t="str">
        <f>IF($AA38="", "",
        IF($AA38=マスタ!$F$3,
             IF($AB38="", "未入力", "（正常）規定値"),
                  IF($AA38=マスタ!$F$4,
                       IF($AB38&lt;&gt;入力不可用2, "（エラー）値入力不可", "（正常）規定値"))))</f>
        <v/>
      </c>
      <c r="BL38" s="75" t="str">
        <f>IF(OR($F38 = マスタ!$C$5, F38 = マスタ!$C$8), $F38,
        IF(AND($F38 = マスタ!$C$3, 'その１事業者基本情報_入力シート（一部非公開）'!$U$16), $F38,
             IF(AND($F38 = マスタ!$C$4, 'その１事業者基本情報_入力シート（一部非公開）'!$S$16), $F38,
                  IF(AND(OR($F38 = マスタ!$C$6, $F38 = マスタ!$C$7),
                                'その１事業者基本情報_入力シート（一部非公開）'!$W$16), $F38,
                       IF(OR($F38 = マスタ!$C$3, $F38=マスタ!$C$4), マスタ!$C$5,
                            IF(OR($F38 = マスタ!$C$6, $F38 = マスタ!$C$7), マスタ!$C$8, ""))))))</f>
        <v/>
      </c>
      <c r="BM38" s="75" t="str">
        <f>IF($L38&lt;&gt;"", $L38,
       IF($M38 = マスタ!$B$3,
          IF(OR($F38=マスタ!$C$3,$F38=マスタ!$C$4,$F38=マスタ!$C$5),
            IF(OR($G38 = マスタ!$D$54, $G38 = マスタ!$D$55), 0.75, 0.87),
            IF(OR($G38 = マスタ!$D$54, $G38 = マスタ!$D$55), 0.62, 0.72)),
                 IF(ISBLANK($L38), "", $L38)))</f>
        <v/>
      </c>
      <c r="BN38" s="99" t="str">
        <f>IF($L38&lt;&gt;"", $L38,
        IF($O38 = マスタ!$B$3,
          IF(OR($F38=マスタ!$C$3,$F38=マスタ!$C$4,$F38=マスタ!$C$5), 0.6, 0.5),
             IF(ISBLANK($L38), "", $L38)))</f>
        <v/>
      </c>
      <c r="BO38" s="99" t="str">
        <f>IF($T38&lt;&gt;マスタ!$B$3,
        IF(ISBLANK($S38),"",$S38),
             IF($BL38=マスタ!$C$3,0.8,
             IF($BL38=マスタ!$C$4,0.85,
             IF($BL38=マスタ!$C$6,0.9,
             IF($BL38=マスタ!$C$7,0.9,
             IF($BL38=マスタ!$C$5,1,
             IF($BL38=マスタ!$C$8,1,"無効な入力")))))))</f>
        <v/>
      </c>
      <c r="BP38" s="99" t="str">
        <f>IF($Y38&lt;&gt;マスタ!$B$3,
   IF(ISBLANK($X38), "", $X38),
   IF($BL38=マスタ!$C$3, 0.75,
      IF($BL38=マスタ!$C$4, 0.8,
         IF($BL38=マスタ!$C$6, 0.8,
            IF($BL38=マスタ!$C$7, 0.8,
               IF($BL38=マスタ!$C$5, 0.8,
                  IF($BL38=マスタ!$C$8, 0.8, "無効な入力")))))))</f>
        <v/>
      </c>
      <c r="BQ38" s="75"/>
      <c r="BR38" s="75"/>
      <c r="BS38" s="75"/>
      <c r="BT38" s="75"/>
      <c r="BU38" s="75"/>
      <c r="BV38" s="75"/>
      <c r="BW38" s="75"/>
      <c r="BX38" s="75"/>
      <c r="BY38" s="75"/>
    </row>
    <row r="39" spans="3:77" ht="30.75" customHeight="1">
      <c r="C39" s="69" t="str" cm="1">
        <f t="array" aca="1" ref="C39" ca="1">IF(SUMPRODUCT(--($D39:$AU39 &lt;&gt; "")),RIGHT(YEAR(TODAY()),2)&amp;"01"&amp;REPT("0",4-LEN(ROW()-11))&amp;ROW()-11,"")</f>
        <v/>
      </c>
      <c r="D39" s="141"/>
      <c r="E39" s="142"/>
      <c r="F39" s="71"/>
      <c r="G39" s="66"/>
      <c r="H39" s="41" t="str">
        <f>IFERROR(VLOOKUP(G39,マスタ!$D$3:$E$55,2,FALSE),"")</f>
        <v/>
      </c>
      <c r="I39" s="93"/>
      <c r="J39" s="77"/>
      <c r="K39" s="66"/>
      <c r="L39" s="103"/>
      <c r="M39" s="71"/>
      <c r="N39" s="101" t="str">
        <f>IF($M39 = $BM$9, $BM$9,
        IF($L39 = "", "",
              IF(OR(
                          AND(OR($G39 = マスタ!$D$54, $G39 = マスタ!$D$55), $L39 &lt;= $BP$9),
                          AND($G39 &lt;&gt; マスタ!$D$54, $G39 &lt;&gt; マスタ!$D$55, $L39 &lt;= $BQ$9)
                         ), $BM$9, $BN$9)))</f>
        <v/>
      </c>
      <c r="O39" s="71"/>
      <c r="P39" s="101" t="str">
        <f t="shared" si="1"/>
        <v/>
      </c>
      <c r="Q39" s="124"/>
      <c r="R39" s="124"/>
      <c r="S39" s="112" t="str">
        <f t="shared" si="17"/>
        <v/>
      </c>
      <c r="T39" s="71"/>
      <c r="U39" s="41" t="str">
        <f>IF($T39=$BM$9, $BM$9,
        IF($S39="", "",
             IF(OR(AND($BL39=マスタ!$C$3, $S39&lt;=$BS$9),
                        AND($BL39=マスタ!$C$4, $S39&lt;=$BT$9),
                        AND(OR($BL39=マスタ!$C$6, $BL39=マスタ!$C$7), $S39&lt;=$BU$9),
                        AND(OR($BL39=マスタ!$C$5, $BL39=マスタ!$C$8), $S39&lt;=$BV$9)),
                  $BM$9, $BN$9)))</f>
        <v/>
      </c>
      <c r="V39" s="129" t="str">
        <f t="shared" si="16"/>
        <v/>
      </c>
      <c r="W39" s="124"/>
      <c r="X39" s="112" t="str">
        <f t="shared" si="18"/>
        <v/>
      </c>
      <c r="Y39" s="71"/>
      <c r="Z39" s="41" t="str">
        <f>IF($Y39=$BM$9, $BM$9,
        IF(AND($T39 = $BM$9, $Y39 = $BO$9), $BN$9,
             IF($BL39=マスタ!$C$3,
                  IF($X39&lt;=$BW$9, $BM$9,$BN$9),
                       IF(OR($BL39=マスタ!$C$4, $BL39=マスタ!$C$5, $BL39=マスタ!$C$6, $BL39=マスタ!$C$7, $BL39=マスタ!$C$8),
                            IF($X39&lt;=$BX$9, $BM$9,$BN$9), ""))))</f>
        <v/>
      </c>
      <c r="AA39" s="71"/>
      <c r="AB39" s="71"/>
      <c r="AC39" s="71"/>
      <c r="AD39" s="165"/>
      <c r="AE39" s="71"/>
      <c r="AF39" s="165"/>
      <c r="AG39" s="92"/>
      <c r="AH39" s="92"/>
      <c r="AI39" s="92"/>
      <c r="AJ39" s="92"/>
      <c r="AK39" s="121"/>
      <c r="AL39" s="121"/>
      <c r="AM39" s="121"/>
      <c r="AN39" s="121"/>
      <c r="AO39" s="92"/>
      <c r="AP39" s="130" t="str">
        <f t="shared" si="5"/>
        <v/>
      </c>
      <c r="AQ39" s="121"/>
      <c r="AR39" s="101" t="str">
        <f>IF(OR(SUMPRODUCT(--(AJ39:AQ39&lt;&gt;""))&lt;7,AND($AJ39=マスタ!$N$3,$AK39="")), "",
        IF($AJ39=マスタ!$N$5, $BO$9,
              IF(OR($F39=マスタ!$C$3, $F39=マスタ!$C$4, $F39=マスタ!$C$5),
                    IF(SUM($AL39,$AM39,$AP39,$AQ39)&gt;=1, $BM$9, $BN$9),
              IF(OR($F39=マスタ!$C$6, $F39=マスタ!$C$7, $F39=マスタ!$C$8),
                    IF($AK39&lt;10, $BO$9,
                          IF(AND(SUM($AL39,$AM39,$AP39,$AQ39)&gt;=($AK39*0.2), $AM39+$AP39+$AQ39&gt;=1),
                               $BM$9,$BN$9))))))</f>
        <v/>
      </c>
      <c r="AS39" s="101" t="str">
        <f>IF(OR(SUMPRODUCT(--(AJ39:AQ39&lt;&gt;""))&lt;7,AND($AJ39=マスタ!$N$3,$AK39="")), "",
     IF($AR39=$BN$9,$BN$9,
        IF($AJ39=マスタ!$N$5, $BO$9,
             IF(OR($F39=マスタ!$C$3, $F39=マスタ!$C$4, $F39=マスタ!$C$5),
                   IF($AQ39&gt;=1, $BM$9, $BN$9),
             IF(OR($F39=マスタ!$C$6, $F39=マスタ!$C$7, $F39=マスタ!$C$8),
                   IF($AK39&lt;5, IF($AQ39&gt;=1, $BM$9, $BN$9),
                         IF(OR($AQ39&gt;=1,
                                    AND(SUM($AL39,$AM39,$AP39,$AQ39)&gt;=$AK39*0.5, ($AM39+$AP39+$AQ39)&gt;=($AK39*0.2))),
                              $BM$9,$BN$9)))))))</f>
        <v/>
      </c>
      <c r="AT39" s="66"/>
      <c r="AU39" s="143"/>
      <c r="AV39" s="98" t="str" cm="1">
        <f t="array" aca="1" ref="AV39" ca="1">IF(AND($F39:$G39&lt;&gt;"", $I39:$K39&lt;&gt;"",
                 IF(OR($M39=$BM$9,$O39=$BM$9), TRUE, $L39&lt;&gt;""),
                 $M39&lt;&gt;"",$O39&lt;&gt;"",
                 IF($T39=$BM$9, TRUE, $Q39:$R39&lt;&gt;""),
                 IF(AND($BL39&lt;&gt;"", $BL39&lt;&gt;マスタ!$C$5, $BL39&lt;&gt;マスタ!$C$8), TRUE, $T39&lt;&gt;""),
                 IF(OR(AND($T39=$BM$9,  $Y39=$BO$9), $Y39=$BM$9), TRUE,$W39&lt;&gt;""),
                 IF(AND($BL39&lt;&gt;"", $BL39&lt;&gt;マスタ!$C$5, $BL39&lt;&gt;マスタ!$C$8), TRUE, $Y39&lt;&gt;""),
                 $AA39&lt;&gt;"",
                 IF($AA39=マスタ!$F$4, TRUE, $AB39&lt;&gt;""),
                 $AG39:$AO39&lt;&gt;"", $AQ39&lt;&gt;"", $AT39&lt;&gt;""),
        "（正常）入力済み", IF($C39= "", "（複数入力）未入力", "（エラー）一部未入力"))</f>
        <v>（複数入力）未入力</v>
      </c>
      <c r="AW39" s="98" t="str">
        <f t="shared" ca="1" si="6"/>
        <v/>
      </c>
      <c r="AX39" s="98" t="str">
        <f t="shared" ca="1" si="7"/>
        <v/>
      </c>
      <c r="AY39" s="98" t="str">
        <f t="shared" ca="1" si="8"/>
        <v/>
      </c>
      <c r="AZ39" s="98" t="str">
        <f t="shared" ca="1" si="9"/>
        <v/>
      </c>
      <c r="BA39" s="98" t="str">
        <f t="shared" ca="1" si="10"/>
        <v/>
      </c>
      <c r="BB39" s="98" t="str">
        <f t="shared" ca="1" si="11"/>
        <v/>
      </c>
      <c r="BC39" s="98" t="str">
        <f t="shared" ca="1" si="12"/>
        <v/>
      </c>
      <c r="BD39" s="98" t="str">
        <f t="shared" ca="1" si="13"/>
        <v/>
      </c>
      <c r="BE39" s="98" t="str">
        <f>IF($BL39="","",
   IF($T39=入力不可用2,
      IF(OR($BL39=マスタ!$C$5,$BL39=マスタ!$C$8), "未入力", "（正常）規定値"),
      IF(OR($BL39=マスタ!$C$5,$BL39=マスタ!$C$8), "（正常）規定値", "（エラー）値入力不可")))</f>
        <v/>
      </c>
      <c r="BF39" s="98" t="str">
        <f ca="1">IF($C39 = "", "",
       IF(AND(OR($BL39=マスタ!$C$5, $BL39=マスタ!$C$8), $T39 = ""), "未入力",
            IF(AND($Y39 = $BM$9, $T39 = $BO$9), "（エラー）「適合」のみ入力可", "（正常）規定値")))</f>
        <v/>
      </c>
      <c r="BG39" s="98" t="str">
        <f t="shared" ca="1" si="14"/>
        <v/>
      </c>
      <c r="BH39" s="98" t="str">
        <f t="shared" ca="1" si="15"/>
        <v/>
      </c>
      <c r="BI39" s="98" t="str">
        <f>IF($BL39="","",
   IF($Y39=入力不可用2,
      IF(OR($BL39=マスタ!$C$5,$BL39=マスタ!$C$8), "未入力", "（正常）規定値"),
      IF(OR($BL39=マスタ!$C$5,$BL39=マスタ!$C$8), "（正常）規定値", "（エラー）値入力不可")))</f>
        <v/>
      </c>
      <c r="BJ39" s="98" t="str">
        <f>IF($AA39="", "",
        IF($AA39=マスタ!$F$3,
             IF($AB39="", "未入力", "（正常）規定値"),
                  IF($AA39=マスタ!$F$4,
                       IF($AB39&lt;&gt;入力不可用2, "（エラー）値入力不可", "（正常）規定値"))))</f>
        <v/>
      </c>
      <c r="BL39" s="75" t="str">
        <f>IF(OR($F39 = マスタ!$C$5, F39 = マスタ!$C$8), $F39,
        IF(AND($F39 = マスタ!$C$3, 'その１事業者基本情報_入力シート（一部非公開）'!$U$16), $F39,
             IF(AND($F39 = マスタ!$C$4, 'その１事業者基本情報_入力シート（一部非公開）'!$S$16), $F39,
                  IF(AND(OR($F39 = マスタ!$C$6, $F39 = マスタ!$C$7),
                                'その１事業者基本情報_入力シート（一部非公開）'!$W$16), $F39,
                       IF(OR($F39 = マスタ!$C$3, $F39=マスタ!$C$4), マスタ!$C$5,
                            IF(OR($F39 = マスタ!$C$6, $F39 = マスタ!$C$7), マスタ!$C$8, ""))))))</f>
        <v/>
      </c>
      <c r="BM39" s="75" t="str">
        <f>IF($L39&lt;&gt;"", $L39,
       IF($M39 = マスタ!$B$3,
          IF(OR($F39=マスタ!$C$3,$F39=マスタ!$C$4,$F39=マスタ!$C$5),
            IF(OR($G39 = マスタ!$D$54, $G39 = マスタ!$D$55), 0.75, 0.87),
            IF(OR($G39 = マスタ!$D$54, $G39 = マスタ!$D$55), 0.62, 0.72)),
                 IF(ISBLANK($L39), "", $L39)))</f>
        <v/>
      </c>
      <c r="BN39" s="99" t="str">
        <f>IF($L39&lt;&gt;"", $L39,
        IF($O39 = マスタ!$B$3,
          IF(OR($F39=マスタ!$C$3,$F39=マスタ!$C$4,$F39=マスタ!$C$5), 0.6, 0.5),
             IF(ISBLANK($L39), "", $L39)))</f>
        <v/>
      </c>
      <c r="BO39" s="99" t="str">
        <f>IF($T39&lt;&gt;マスタ!$B$3,
        IF(ISBLANK($S39),"",$S39),
             IF($BL39=マスタ!$C$3,0.8,
             IF($BL39=マスタ!$C$4,0.85,
             IF($BL39=マスタ!$C$6,0.9,
             IF($BL39=マスタ!$C$7,0.9,
             IF($BL39=マスタ!$C$5,1,
             IF($BL39=マスタ!$C$8,1,"無効な入力")))))))</f>
        <v/>
      </c>
      <c r="BP39" s="99" t="str">
        <f>IF($Y39&lt;&gt;マスタ!$B$3,
   IF(ISBLANK($X39), "", $X39),
   IF($BL39=マスタ!$C$3, 0.75,
      IF($BL39=マスタ!$C$4, 0.8,
         IF($BL39=マスタ!$C$6, 0.8,
            IF($BL39=マスタ!$C$7, 0.8,
               IF($BL39=マスタ!$C$5, 0.8,
                  IF($BL39=マスタ!$C$8, 0.8, "無効な入力")))))))</f>
        <v/>
      </c>
      <c r="BQ39" s="75"/>
      <c r="BR39" s="75"/>
      <c r="BS39" s="75"/>
      <c r="BT39" s="75"/>
      <c r="BU39" s="75"/>
      <c r="BV39" s="75"/>
      <c r="BW39" s="75"/>
      <c r="BX39" s="75"/>
      <c r="BY39" s="75"/>
    </row>
    <row r="40" spans="3:77" ht="30.75" customHeight="1">
      <c r="C40" s="69" t="str" cm="1">
        <f t="array" aca="1" ref="C40" ca="1">IF(SUMPRODUCT(--($D40:$AU40 &lt;&gt; "")),RIGHT(YEAR(TODAY()),2)&amp;"01"&amp;REPT("0",4-LEN(ROW()-11))&amp;ROW()-11,"")</f>
        <v/>
      </c>
      <c r="D40" s="141"/>
      <c r="E40" s="142"/>
      <c r="F40" s="71"/>
      <c r="G40" s="66"/>
      <c r="H40" s="41" t="str">
        <f>IFERROR(VLOOKUP(G40,マスタ!$D$3:$E$55,2,FALSE),"")</f>
        <v/>
      </c>
      <c r="I40" s="93"/>
      <c r="J40" s="77"/>
      <c r="K40" s="66"/>
      <c r="L40" s="103"/>
      <c r="M40" s="71"/>
      <c r="N40" s="101" t="str">
        <f>IF($M40 = $BM$9, $BM$9,
        IF($L40 = "", "",
              IF(OR(
                          AND(OR($G40 = マスタ!$D$54, $G40 = マスタ!$D$55), $L40 &lt;= $BP$9),
                          AND($G40 &lt;&gt; マスタ!$D$54, $G40 &lt;&gt; マスタ!$D$55, $L40 &lt;= $BQ$9)
                         ), $BM$9, $BN$9)))</f>
        <v/>
      </c>
      <c r="O40" s="71"/>
      <c r="P40" s="101" t="str">
        <f t="shared" si="1"/>
        <v/>
      </c>
      <c r="Q40" s="124"/>
      <c r="R40" s="124"/>
      <c r="S40" s="112" t="str">
        <f t="shared" si="17"/>
        <v/>
      </c>
      <c r="T40" s="71"/>
      <c r="U40" s="41" t="str">
        <f>IF($T40=$BM$9, $BM$9,
        IF($S40="", "",
             IF(OR(AND($BL40=マスタ!$C$3, $S40&lt;=$BS$9),
                        AND($BL40=マスタ!$C$4, $S40&lt;=$BT$9),
                        AND(OR($BL40=マスタ!$C$6, $BL40=マスタ!$C$7), $S40&lt;=$BU$9),
                        AND(OR($BL40=マスタ!$C$5, $BL40=マスタ!$C$8), $S40&lt;=$BV$9)),
                  $BM$9, $BN$9)))</f>
        <v/>
      </c>
      <c r="V40" s="129" t="str">
        <f t="shared" si="16"/>
        <v/>
      </c>
      <c r="W40" s="124"/>
      <c r="X40" s="112" t="str">
        <f t="shared" si="18"/>
        <v/>
      </c>
      <c r="Y40" s="71"/>
      <c r="Z40" s="41" t="str">
        <f>IF($Y40=$BM$9, $BM$9,
        IF(AND($T40 = $BM$9, $Y40 = $BO$9), $BN$9,
             IF($BL40=マスタ!$C$3,
                  IF($X40&lt;=$BW$9, $BM$9,$BN$9),
                       IF(OR($BL40=マスタ!$C$4, $BL40=マスタ!$C$5, $BL40=マスタ!$C$6, $BL40=マスタ!$C$7, $BL40=マスタ!$C$8),
                            IF($X40&lt;=$BX$9, $BM$9,$BN$9), ""))))</f>
        <v/>
      </c>
      <c r="AA40" s="71"/>
      <c r="AB40" s="71"/>
      <c r="AC40" s="71"/>
      <c r="AD40" s="165"/>
      <c r="AE40" s="71"/>
      <c r="AF40" s="165"/>
      <c r="AG40" s="92"/>
      <c r="AH40" s="92"/>
      <c r="AI40" s="92"/>
      <c r="AJ40" s="92"/>
      <c r="AK40" s="121"/>
      <c r="AL40" s="121"/>
      <c r="AM40" s="121"/>
      <c r="AN40" s="121"/>
      <c r="AO40" s="92"/>
      <c r="AP40" s="130" t="str">
        <f t="shared" si="5"/>
        <v/>
      </c>
      <c r="AQ40" s="121"/>
      <c r="AR40" s="101" t="str">
        <f>IF(OR(SUMPRODUCT(--(AJ40:AQ40&lt;&gt;""))&lt;7,AND($AJ40=マスタ!$N$3,$AK40="")), "",
        IF($AJ40=マスタ!$N$5, $BO$9,
              IF(OR($F40=マスタ!$C$3, $F40=マスタ!$C$4, $F40=マスタ!$C$5),
                    IF(SUM($AL40,$AM40,$AP40,$AQ40)&gt;=1, $BM$9, $BN$9),
              IF(OR($F40=マスタ!$C$6, $F40=マスタ!$C$7, $F40=マスタ!$C$8),
                    IF($AK40&lt;10, $BO$9,
                          IF(AND(SUM($AL40,$AM40,$AP40,$AQ40)&gt;=($AK40*0.2), $AM40+$AP40+$AQ40&gt;=1),
                               $BM$9,$BN$9))))))</f>
        <v/>
      </c>
      <c r="AS40" s="101" t="str">
        <f>IF(OR(SUMPRODUCT(--(AJ40:AQ40&lt;&gt;""))&lt;7,AND($AJ40=マスタ!$N$3,$AK40="")), "",
     IF($AR40=$BN$9,$BN$9,
        IF($AJ40=マスタ!$N$5, $BO$9,
             IF(OR($F40=マスタ!$C$3, $F40=マスタ!$C$4, $F40=マスタ!$C$5),
                   IF($AQ40&gt;=1, $BM$9, $BN$9),
             IF(OR($F40=マスタ!$C$6, $F40=マスタ!$C$7, $F40=マスタ!$C$8),
                   IF($AK40&lt;5, IF($AQ40&gt;=1, $BM$9, $BN$9),
                         IF(OR($AQ40&gt;=1,
                                    AND(SUM($AL40,$AM40,$AP40,$AQ40)&gt;=$AK40*0.5, ($AM40+$AP40+$AQ40)&gt;=($AK40*0.2))),
                              $BM$9,$BN$9)))))))</f>
        <v/>
      </c>
      <c r="AT40" s="66"/>
      <c r="AU40" s="143"/>
      <c r="AV40" s="98" t="str" cm="1">
        <f t="array" aca="1" ref="AV40" ca="1">IF(AND($F40:$G40&lt;&gt;"", $I40:$K40&lt;&gt;"",
                 IF(OR($M40=$BM$9,$O40=$BM$9), TRUE, $L40&lt;&gt;""),
                 $M40&lt;&gt;"",$O40&lt;&gt;"",
                 IF($T40=$BM$9, TRUE, $Q40:$R40&lt;&gt;""),
                 IF(AND($BL40&lt;&gt;"", $BL40&lt;&gt;マスタ!$C$5, $BL40&lt;&gt;マスタ!$C$8), TRUE, $T40&lt;&gt;""),
                 IF(OR(AND($T40=$BM$9,  $Y40=$BO$9), $Y40=$BM$9), TRUE,$W40&lt;&gt;""),
                 IF(AND($BL40&lt;&gt;"", $BL40&lt;&gt;マスタ!$C$5, $BL40&lt;&gt;マスタ!$C$8), TRUE, $Y40&lt;&gt;""),
                 $AA40&lt;&gt;"",
                 IF($AA40=マスタ!$F$4, TRUE, $AB40&lt;&gt;""),
                 $AG40:$AO40&lt;&gt;"", $AQ40&lt;&gt;"", $AT40&lt;&gt;""),
        "（正常）入力済み", IF($C40= "", "（複数入力）未入力", "（エラー）一部未入力"))</f>
        <v>（複数入力）未入力</v>
      </c>
      <c r="AW40" s="98" t="str">
        <f t="shared" ca="1" si="6"/>
        <v/>
      </c>
      <c r="AX40" s="98" t="str">
        <f t="shared" ca="1" si="7"/>
        <v/>
      </c>
      <c r="AY40" s="98" t="str">
        <f t="shared" ca="1" si="8"/>
        <v/>
      </c>
      <c r="AZ40" s="98" t="str">
        <f t="shared" ca="1" si="9"/>
        <v/>
      </c>
      <c r="BA40" s="98" t="str">
        <f t="shared" ca="1" si="10"/>
        <v/>
      </c>
      <c r="BB40" s="98" t="str">
        <f t="shared" ca="1" si="11"/>
        <v/>
      </c>
      <c r="BC40" s="98" t="str">
        <f t="shared" ca="1" si="12"/>
        <v/>
      </c>
      <c r="BD40" s="98" t="str">
        <f t="shared" ca="1" si="13"/>
        <v/>
      </c>
      <c r="BE40" s="98" t="str">
        <f>IF($BL40="","",
   IF($T40=入力不可用2,
      IF(OR($BL40=マスタ!$C$5,$BL40=マスタ!$C$8), "未入力", "（正常）規定値"),
      IF(OR($BL40=マスタ!$C$5,$BL40=マスタ!$C$8), "（正常）規定値", "（エラー）値入力不可")))</f>
        <v/>
      </c>
      <c r="BF40" s="98" t="str">
        <f ca="1">IF($C40 = "", "",
       IF(AND(OR($BL40=マスタ!$C$5, $BL40=マスタ!$C$8), $T40 = ""), "未入力",
            IF(AND($Y40 = $BM$9, $T40 = $BO$9), "（エラー）「適合」のみ入力可", "（正常）規定値")))</f>
        <v/>
      </c>
      <c r="BG40" s="98" t="str">
        <f t="shared" ca="1" si="14"/>
        <v/>
      </c>
      <c r="BH40" s="98" t="str">
        <f t="shared" ca="1" si="15"/>
        <v/>
      </c>
      <c r="BI40" s="98" t="str">
        <f>IF($BL40="","",
   IF($Y40=入力不可用2,
      IF(OR($BL40=マスタ!$C$5,$BL40=マスタ!$C$8), "未入力", "（正常）規定値"),
      IF(OR($BL40=マスタ!$C$5,$BL40=マスタ!$C$8), "（正常）規定値", "（エラー）値入力不可")))</f>
        <v/>
      </c>
      <c r="BJ40" s="98" t="str">
        <f>IF($AA40="", "",
        IF($AA40=マスタ!$F$3,
             IF($AB40="", "未入力", "（正常）規定値"),
                  IF($AA40=マスタ!$F$4,
                       IF($AB40&lt;&gt;入力不可用2, "（エラー）値入力不可", "（正常）規定値"))))</f>
        <v/>
      </c>
      <c r="BL40" s="75" t="str">
        <f>IF(OR($F40 = マスタ!$C$5, F40 = マスタ!$C$8), $F40,
        IF(AND($F40 = マスタ!$C$3, 'その１事業者基本情報_入力シート（一部非公開）'!$U$16), $F40,
             IF(AND($F40 = マスタ!$C$4, 'その１事業者基本情報_入力シート（一部非公開）'!$S$16), $F40,
                  IF(AND(OR($F40 = マスタ!$C$6, $F40 = マスタ!$C$7),
                                'その１事業者基本情報_入力シート（一部非公開）'!$W$16), $F40,
                       IF(OR($F40 = マスタ!$C$3, $F40=マスタ!$C$4), マスタ!$C$5,
                            IF(OR($F40 = マスタ!$C$6, $F40 = マスタ!$C$7), マスタ!$C$8, ""))))))</f>
        <v/>
      </c>
      <c r="BM40" s="75" t="str">
        <f>IF($L40&lt;&gt;"", $L40,
       IF($M40 = マスタ!$B$3,
          IF(OR($F40=マスタ!$C$3,$F40=マスタ!$C$4,$F40=マスタ!$C$5),
            IF(OR($G40 = マスタ!$D$54, $G40 = マスタ!$D$55), 0.75, 0.87),
            IF(OR($G40 = マスタ!$D$54, $G40 = マスタ!$D$55), 0.62, 0.72)),
                 IF(ISBLANK($L40), "", $L40)))</f>
        <v/>
      </c>
      <c r="BN40" s="99" t="str">
        <f>IF($L40&lt;&gt;"", $L40,
        IF($O40 = マスタ!$B$3,
          IF(OR($F40=マスタ!$C$3,$F40=マスタ!$C$4,$F40=マスタ!$C$5), 0.6, 0.5),
             IF(ISBLANK($L40), "", $L40)))</f>
        <v/>
      </c>
      <c r="BO40" s="99" t="str">
        <f>IF($T40&lt;&gt;マスタ!$B$3,
        IF(ISBLANK($S40),"",$S40),
             IF($BL40=マスタ!$C$3,0.8,
             IF($BL40=マスタ!$C$4,0.85,
             IF($BL40=マスタ!$C$6,0.9,
             IF($BL40=マスタ!$C$7,0.9,
             IF($BL40=マスタ!$C$5,1,
             IF($BL40=マスタ!$C$8,1,"無効な入力")))))))</f>
        <v/>
      </c>
      <c r="BP40" s="99" t="str">
        <f>IF($Y40&lt;&gt;マスタ!$B$3,
   IF(ISBLANK($X40), "", $X40),
   IF($BL40=マスタ!$C$3, 0.75,
      IF($BL40=マスタ!$C$4, 0.8,
         IF($BL40=マスタ!$C$6, 0.8,
            IF($BL40=マスタ!$C$7, 0.8,
               IF($BL40=マスタ!$C$5, 0.8,
                  IF($BL40=マスタ!$C$8, 0.8, "無効な入力")))))))</f>
        <v/>
      </c>
      <c r="BQ40" s="75"/>
      <c r="BR40" s="75"/>
      <c r="BS40" s="75"/>
      <c r="BT40" s="75"/>
      <c r="BU40" s="75"/>
      <c r="BV40" s="75"/>
      <c r="BW40" s="75"/>
      <c r="BX40" s="75"/>
      <c r="BY40" s="75"/>
    </row>
    <row r="41" spans="3:77" ht="30.75" customHeight="1">
      <c r="C41" s="69" t="str" cm="1">
        <f t="array" aca="1" ref="C41" ca="1">IF(SUMPRODUCT(--($D41:$AU41 &lt;&gt; "")),RIGHT(YEAR(TODAY()),2)&amp;"01"&amp;REPT("0",4-LEN(ROW()-11))&amp;ROW()-11,"")</f>
        <v/>
      </c>
      <c r="D41" s="141"/>
      <c r="E41" s="142"/>
      <c r="F41" s="71"/>
      <c r="G41" s="66"/>
      <c r="H41" s="41" t="str">
        <f>IFERROR(VLOOKUP(G41,マスタ!$D$3:$E$55,2,FALSE),"")</f>
        <v/>
      </c>
      <c r="I41" s="93"/>
      <c r="J41" s="77"/>
      <c r="K41" s="66"/>
      <c r="L41" s="103"/>
      <c r="M41" s="71"/>
      <c r="N41" s="101" t="str">
        <f>IF($M41 = $BM$9, $BM$9,
        IF($L41 = "", "",
              IF(OR(
                          AND(OR($G41 = マスタ!$D$54, $G41 = マスタ!$D$55), $L41 &lt;= $BP$9),
                          AND($G41 &lt;&gt; マスタ!$D$54, $G41 &lt;&gt; マスタ!$D$55, $L41 &lt;= $BQ$9)
                         ), $BM$9, $BN$9)))</f>
        <v/>
      </c>
      <c r="O41" s="71"/>
      <c r="P41" s="101" t="str">
        <f t="shared" si="1"/>
        <v/>
      </c>
      <c r="Q41" s="124"/>
      <c r="R41" s="124"/>
      <c r="S41" s="112" t="str">
        <f t="shared" ref="S41:S104" si="19">IF(AND($Q41&lt;&gt;"",$Q41&lt;&gt;0, R41&lt;&gt;""), ROUNDUP(R41/Q41, 2), "")</f>
        <v/>
      </c>
      <c r="T41" s="71"/>
      <c r="U41" s="41" t="str">
        <f>IF($T41=$BM$9, $BM$9,
        IF($S41="", "",
             IF(OR(AND($BL41=マスタ!$C$3, $S41&lt;=$BS$9),
                        AND($BL41=マスタ!$C$4, $S41&lt;=$BT$9),
                        AND(OR($BL41=マスタ!$C$6, $BL41=マスタ!$C$7), $S41&lt;=$BU$9),
                        AND(OR($BL41=マスタ!$C$5, $BL41=マスタ!$C$8), $S41&lt;=$BV$9)),
                  $BM$9, $BN$9)))</f>
        <v/>
      </c>
      <c r="V41" s="129" t="str">
        <f t="shared" si="16"/>
        <v/>
      </c>
      <c r="W41" s="124"/>
      <c r="X41" s="112" t="str">
        <f t="shared" ref="X41:X104" si="20">IF(AND($W41&lt;&gt;"",$V41&lt;&gt;0, V41&lt;&gt;""), ROUNDUP(W41/V41,2), "")</f>
        <v/>
      </c>
      <c r="Y41" s="71"/>
      <c r="Z41" s="41" t="str">
        <f>IF($Y41=$BM$9, $BM$9,
        IF(AND($T41 = $BM$9, $Y41 = $BO$9), $BN$9,
             IF($BL41=マスタ!$C$3,
                  IF($X41&lt;=$BW$9, $BM$9,$BN$9),
                       IF(OR($BL41=マスタ!$C$4, $BL41=マスタ!$C$5, $BL41=マスタ!$C$6, $BL41=マスタ!$C$7, $BL41=マスタ!$C$8),
                            IF($X41&lt;=$BX$9, $BM$9,$BN$9), ""))))</f>
        <v/>
      </c>
      <c r="AA41" s="71"/>
      <c r="AB41" s="71"/>
      <c r="AC41" s="71"/>
      <c r="AD41" s="165"/>
      <c r="AE41" s="71"/>
      <c r="AF41" s="165"/>
      <c r="AG41" s="92"/>
      <c r="AH41" s="92"/>
      <c r="AI41" s="92"/>
      <c r="AJ41" s="92"/>
      <c r="AK41" s="121"/>
      <c r="AL41" s="121"/>
      <c r="AM41" s="121"/>
      <c r="AN41" s="121"/>
      <c r="AO41" s="92"/>
      <c r="AP41" s="130" t="str">
        <f t="shared" si="5"/>
        <v/>
      </c>
      <c r="AQ41" s="121"/>
      <c r="AR41" s="101" t="str">
        <f>IF(OR(SUMPRODUCT(--(AJ41:AQ41&lt;&gt;""))&lt;7,AND($AJ41=マスタ!$N$3,$AK41="")), "",
        IF($AJ41=マスタ!$N$5, $BO$9,
              IF(OR($F41=マスタ!$C$3, $F41=マスタ!$C$4, $F41=マスタ!$C$5),
                    IF(SUM($AL41,$AM41,$AP41,$AQ41)&gt;=1, $BM$9, $BN$9),
              IF(OR($F41=マスタ!$C$6, $F41=マスタ!$C$7, $F41=マスタ!$C$8),
                    IF($AK41&lt;10, $BO$9,
                          IF(AND(SUM($AL41,$AM41,$AP41,$AQ41)&gt;=($AK41*0.2), $AM41+$AP41+$AQ41&gt;=1),
                               $BM$9,$BN$9))))))</f>
        <v/>
      </c>
      <c r="AS41" s="101" t="str">
        <f>IF(OR(SUMPRODUCT(--(AJ41:AQ41&lt;&gt;""))&lt;7,AND($AJ41=マスタ!$N$3,$AK41="")), "",
     IF($AR41=$BN$9,$BN$9,
        IF($AJ41=マスタ!$N$5, $BO$9,
             IF(OR($F41=マスタ!$C$3, $F41=マスタ!$C$4, $F41=マスタ!$C$5),
                   IF($AQ41&gt;=1, $BM$9, $BN$9),
             IF(OR($F41=マスタ!$C$6, $F41=マスタ!$C$7, $F41=マスタ!$C$8),
                   IF($AK41&lt;5, IF($AQ41&gt;=1, $BM$9, $BN$9),
                         IF(OR($AQ41&gt;=1,
                                    AND(SUM($AL41,$AM41,$AP41,$AQ41)&gt;=$AK41*0.5, ($AM41+$AP41+$AQ41)&gt;=($AK41*0.2))),
                              $BM$9,$BN$9)))))))</f>
        <v/>
      </c>
      <c r="AT41" s="66"/>
      <c r="AU41" s="143"/>
      <c r="AV41" s="98" t="str" cm="1">
        <f t="array" aca="1" ref="AV41" ca="1">IF(AND($F41:$G41&lt;&gt;"", $I41:$K41&lt;&gt;"",
                 IF(OR($M41=$BM$9,$O41=$BM$9), TRUE, $L41&lt;&gt;""),
                 $M41&lt;&gt;"",$O41&lt;&gt;"",
                 IF($T41=$BM$9, TRUE, $Q41:$R41&lt;&gt;""),
                 IF(AND($BL41&lt;&gt;"", $BL41&lt;&gt;マスタ!$C$5, $BL41&lt;&gt;マスタ!$C$8), TRUE, $T41&lt;&gt;""),
                 IF(OR(AND($T41=$BM$9,  $Y41=$BO$9), $Y41=$BM$9), TRUE,$W41&lt;&gt;""),
                 IF(AND($BL41&lt;&gt;"", $BL41&lt;&gt;マスタ!$C$5, $BL41&lt;&gt;マスタ!$C$8), TRUE, $Y41&lt;&gt;""),
                 $AA41&lt;&gt;"",
                 IF($AA41=マスタ!$F$4, TRUE, $AB41&lt;&gt;""),
                 $AG41:$AO41&lt;&gt;"", $AQ41&lt;&gt;"", $AT41&lt;&gt;""),
        "（正常）入力済み", IF($C41= "", "（複数入力）未入力", "（エラー）一部未入力"))</f>
        <v>（複数入力）未入力</v>
      </c>
      <c r="AW41" s="98" t="str">
        <f t="shared" ca="1" si="6"/>
        <v/>
      </c>
      <c r="AX41" s="98" t="str">
        <f t="shared" ca="1" si="7"/>
        <v/>
      </c>
      <c r="AY41" s="98" t="str">
        <f t="shared" ca="1" si="8"/>
        <v/>
      </c>
      <c r="AZ41" s="98" t="str">
        <f t="shared" ca="1" si="9"/>
        <v/>
      </c>
      <c r="BA41" s="98" t="str">
        <f t="shared" ca="1" si="10"/>
        <v/>
      </c>
      <c r="BB41" s="98" t="str">
        <f t="shared" ca="1" si="11"/>
        <v/>
      </c>
      <c r="BC41" s="98" t="str">
        <f t="shared" ca="1" si="12"/>
        <v/>
      </c>
      <c r="BD41" s="98" t="str">
        <f t="shared" ca="1" si="13"/>
        <v/>
      </c>
      <c r="BE41" s="98" t="str">
        <f>IF($BL41="","",
   IF($T41=入力不可用2,
      IF(OR($BL41=マスタ!$C$5,$BL41=マスタ!$C$8), "未入力", "（正常）規定値"),
      IF(OR($BL41=マスタ!$C$5,$BL41=マスタ!$C$8), "（正常）規定値", "（エラー）値入力不可")))</f>
        <v/>
      </c>
      <c r="BF41" s="98" t="str">
        <f ca="1">IF($C41 = "", "",
       IF(AND(OR($BL41=マスタ!$C$5, $BL41=マスタ!$C$8), $T41 = ""), "未入力",
            IF(AND($Y41 = $BM$9, $T41 = $BO$9), "（エラー）「適合」のみ入力可", "（正常）規定値")))</f>
        <v/>
      </c>
      <c r="BG41" s="98" t="str">
        <f t="shared" ca="1" si="14"/>
        <v/>
      </c>
      <c r="BH41" s="98" t="str">
        <f t="shared" ca="1" si="15"/>
        <v/>
      </c>
      <c r="BI41" s="98" t="str">
        <f>IF($BL41="","",
   IF($Y41=入力不可用2,
      IF(OR($BL41=マスタ!$C$5,$BL41=マスタ!$C$8), "未入力", "（正常）規定値"),
      IF(OR($BL41=マスタ!$C$5,$BL41=マスタ!$C$8), "（正常）規定値", "（エラー）値入力不可")))</f>
        <v/>
      </c>
      <c r="BJ41" s="98" t="str">
        <f>IF($AA41="", "",
        IF($AA41=マスタ!$F$3,
             IF($AB41="", "未入力", "（正常）規定値"),
                  IF($AA41=マスタ!$F$4,
                       IF($AB41&lt;&gt;入力不可用2, "（エラー）値入力不可", "（正常）規定値"))))</f>
        <v/>
      </c>
      <c r="BL41" s="75" t="str">
        <f>IF(OR($F41 = マスタ!$C$5, F41 = マスタ!$C$8), $F41,
        IF(AND($F41 = マスタ!$C$3, 'その１事業者基本情報_入力シート（一部非公開）'!$U$16), $F41,
             IF(AND($F41 = マスタ!$C$4, 'その１事業者基本情報_入力シート（一部非公開）'!$S$16), $F41,
                  IF(AND(OR($F41 = マスタ!$C$6, $F41 = マスタ!$C$7),
                                'その１事業者基本情報_入力シート（一部非公開）'!$W$16), $F41,
                       IF(OR($F41 = マスタ!$C$3, $F41=マスタ!$C$4), マスタ!$C$5,
                            IF(OR($F41 = マスタ!$C$6, $F41 = マスタ!$C$7), マスタ!$C$8, ""))))))</f>
        <v/>
      </c>
      <c r="BM41" s="75" t="str">
        <f>IF($L41&lt;&gt;"", $L41,
       IF($M41 = マスタ!$B$3,
          IF(OR($F41=マスタ!$C$3,$F41=マスタ!$C$4,$F41=マスタ!$C$5),
            IF(OR($G41 = マスタ!$D$54, $G41 = マスタ!$D$55), 0.75, 0.87),
            IF(OR($G41 = マスタ!$D$54, $G41 = マスタ!$D$55), 0.62, 0.72)),
                 IF(ISBLANK($L41), "", $L41)))</f>
        <v/>
      </c>
      <c r="BN41" s="99" t="str">
        <f>IF($L41&lt;&gt;"", $L41,
        IF($O41 = マスタ!$B$3,
          IF(OR($F41=マスタ!$C$3,$F41=マスタ!$C$4,$F41=マスタ!$C$5), 0.6, 0.5),
             IF(ISBLANK($L41), "", $L41)))</f>
        <v/>
      </c>
      <c r="BO41" s="99" t="str">
        <f>IF($T41&lt;&gt;マスタ!$B$3,
        IF(ISBLANK($S41),"",$S41),
             IF($BL41=マスタ!$C$3,0.8,
             IF($BL41=マスタ!$C$4,0.85,
             IF($BL41=マスタ!$C$6,0.9,
             IF($BL41=マスタ!$C$7,0.9,
             IF($BL41=マスタ!$C$5,1,
             IF($BL41=マスタ!$C$8,1,"無効な入力")))))))</f>
        <v/>
      </c>
      <c r="BP41" s="99" t="str">
        <f>IF($Y41&lt;&gt;マスタ!$B$3,
   IF(ISBLANK($X41), "", $X41),
   IF($BL41=マスタ!$C$3, 0.75,
      IF($BL41=マスタ!$C$4, 0.8,
         IF($BL41=マスタ!$C$6, 0.8,
            IF($BL41=マスタ!$C$7, 0.8,
               IF($BL41=マスタ!$C$5, 0.8,
                  IF($BL41=マスタ!$C$8, 0.8, "無効な入力")))))))</f>
        <v/>
      </c>
      <c r="BQ41" s="75"/>
      <c r="BR41" s="75"/>
      <c r="BS41" s="75"/>
      <c r="BT41" s="75"/>
      <c r="BU41" s="75"/>
      <c r="BV41" s="75"/>
      <c r="BW41" s="75"/>
      <c r="BX41" s="75"/>
      <c r="BY41" s="75"/>
    </row>
    <row r="42" spans="3:77" ht="30.75" customHeight="1">
      <c r="C42" s="69" t="str" cm="1">
        <f t="array" aca="1" ref="C42" ca="1">IF(SUMPRODUCT(--($D42:$AU42 &lt;&gt; "")),RIGHT(YEAR(TODAY()),2)&amp;"01"&amp;REPT("0",4-LEN(ROW()-11))&amp;ROW()-11,"")</f>
        <v/>
      </c>
      <c r="D42" s="141"/>
      <c r="E42" s="142"/>
      <c r="F42" s="71"/>
      <c r="G42" s="66"/>
      <c r="H42" s="41" t="str">
        <f>IFERROR(VLOOKUP(G42,マスタ!$D$3:$E$55,2,FALSE),"")</f>
        <v/>
      </c>
      <c r="I42" s="93"/>
      <c r="J42" s="77"/>
      <c r="K42" s="66"/>
      <c r="L42" s="103"/>
      <c r="M42" s="71"/>
      <c r="N42" s="101" t="str">
        <f>IF($M42 = $BM$9, $BM$9,
        IF($L42 = "", "",
              IF(OR(
                          AND(OR($G42 = マスタ!$D$54, $G42 = マスタ!$D$55), $L42 &lt;= $BP$9),
                          AND($G42 &lt;&gt; マスタ!$D$54, $G42 &lt;&gt; マスタ!$D$55, $L42 &lt;= $BQ$9)
                         ), $BM$9, $BN$9)))</f>
        <v/>
      </c>
      <c r="O42" s="71"/>
      <c r="P42" s="101" t="str">
        <f t="shared" si="1"/>
        <v/>
      </c>
      <c r="Q42" s="124"/>
      <c r="R42" s="124"/>
      <c r="S42" s="112" t="str">
        <f t="shared" si="19"/>
        <v/>
      </c>
      <c r="T42" s="71"/>
      <c r="U42" s="41" t="str">
        <f>IF($T42=$BM$9, $BM$9,
        IF($S42="", "",
             IF(OR(AND($BL42=マスタ!$C$3, $S42&lt;=$BS$9),
                        AND($BL42=マスタ!$C$4, $S42&lt;=$BT$9),
                        AND(OR($BL42=マスタ!$C$6, $BL42=マスタ!$C$7), $S42&lt;=$BU$9),
                        AND(OR($BL42=マスタ!$C$5, $BL42=マスタ!$C$8), $S42&lt;=$BV$9)),
                  $BM$9, $BN$9)))</f>
        <v/>
      </c>
      <c r="V42" s="129" t="str">
        <f t="shared" si="16"/>
        <v/>
      </c>
      <c r="W42" s="124"/>
      <c r="X42" s="112" t="str">
        <f t="shared" si="20"/>
        <v/>
      </c>
      <c r="Y42" s="71"/>
      <c r="Z42" s="41" t="str">
        <f>IF($Y42=$BM$9, $BM$9,
        IF(AND($T42 = $BM$9, $Y42 = $BO$9), $BN$9,
             IF($BL42=マスタ!$C$3,
                  IF($X42&lt;=$BW$9, $BM$9,$BN$9),
                       IF(OR($BL42=マスタ!$C$4, $BL42=マスタ!$C$5, $BL42=マスタ!$C$6, $BL42=マスタ!$C$7, $BL42=マスタ!$C$8),
                            IF($X42&lt;=$BX$9, $BM$9,$BN$9), ""))))</f>
        <v/>
      </c>
      <c r="AA42" s="71"/>
      <c r="AB42" s="71"/>
      <c r="AC42" s="71"/>
      <c r="AD42" s="165"/>
      <c r="AE42" s="71"/>
      <c r="AF42" s="165"/>
      <c r="AG42" s="92"/>
      <c r="AH42" s="92"/>
      <c r="AI42" s="92"/>
      <c r="AJ42" s="92"/>
      <c r="AK42" s="121"/>
      <c r="AL42" s="121"/>
      <c r="AM42" s="121"/>
      <c r="AN42" s="121"/>
      <c r="AO42" s="92"/>
      <c r="AP42" s="130" t="str">
        <f t="shared" si="5"/>
        <v/>
      </c>
      <c r="AQ42" s="121"/>
      <c r="AR42" s="101" t="str">
        <f>IF(OR(SUMPRODUCT(--(AJ42:AQ42&lt;&gt;""))&lt;7,AND($AJ42=マスタ!$N$3,$AK42="")), "",
        IF($AJ42=マスタ!$N$5, $BO$9,
              IF(OR($F42=マスタ!$C$3, $F42=マスタ!$C$4, $F42=マスタ!$C$5),
                    IF(SUM($AL42,$AM42,$AP42,$AQ42)&gt;=1, $BM$9, $BN$9),
              IF(OR($F42=マスタ!$C$6, $F42=マスタ!$C$7, $F42=マスタ!$C$8),
                    IF($AK42&lt;10, $BO$9,
                          IF(AND(SUM($AL42,$AM42,$AP42,$AQ42)&gt;=($AK42*0.2), $AM42+$AP42+$AQ42&gt;=1),
                               $BM$9,$BN$9))))))</f>
        <v/>
      </c>
      <c r="AS42" s="101" t="str">
        <f>IF(OR(SUMPRODUCT(--(AJ42:AQ42&lt;&gt;""))&lt;7,AND($AJ42=マスタ!$N$3,$AK42="")), "",
     IF($AR42=$BN$9,$BN$9,
        IF($AJ42=マスタ!$N$5, $BO$9,
             IF(OR($F42=マスタ!$C$3, $F42=マスタ!$C$4, $F42=マスタ!$C$5),
                   IF($AQ42&gt;=1, $BM$9, $BN$9),
             IF(OR($F42=マスタ!$C$6, $F42=マスタ!$C$7, $F42=マスタ!$C$8),
                   IF($AK42&lt;5, IF($AQ42&gt;=1, $BM$9, $BN$9),
                         IF(OR($AQ42&gt;=1,
                                    AND(SUM($AL42,$AM42,$AP42,$AQ42)&gt;=$AK42*0.5, ($AM42+$AP42+$AQ42)&gt;=($AK42*0.2))),
                              $BM$9,$BN$9)))))))</f>
        <v/>
      </c>
      <c r="AT42" s="66"/>
      <c r="AU42" s="143"/>
      <c r="AV42" s="98" t="str" cm="1">
        <f t="array" aca="1" ref="AV42" ca="1">IF(AND($F42:$G42&lt;&gt;"", $I42:$K42&lt;&gt;"",
                 IF(OR($M42=$BM$9,$O42=$BM$9), TRUE, $L42&lt;&gt;""),
                 $M42&lt;&gt;"",$O42&lt;&gt;"",
                 IF($T42=$BM$9, TRUE, $Q42:$R42&lt;&gt;""),
                 IF(AND($BL42&lt;&gt;"", $BL42&lt;&gt;マスタ!$C$5, $BL42&lt;&gt;マスタ!$C$8), TRUE, $T42&lt;&gt;""),
                 IF(OR(AND($T42=$BM$9,  $Y42=$BO$9), $Y42=$BM$9), TRUE,$W42&lt;&gt;""),
                 IF(AND($BL42&lt;&gt;"", $BL42&lt;&gt;マスタ!$C$5, $BL42&lt;&gt;マスタ!$C$8), TRUE, $Y42&lt;&gt;""),
                 $AA42&lt;&gt;"",
                 IF($AA42=マスタ!$F$4, TRUE, $AB42&lt;&gt;""),
                 $AG42:$AO42&lt;&gt;"", $AQ42&lt;&gt;"", $AT42&lt;&gt;""),
        "（正常）入力済み", IF($C42= "", "（複数入力）未入力", "（エラー）一部未入力"))</f>
        <v>（複数入力）未入力</v>
      </c>
      <c r="AW42" s="98" t="str">
        <f t="shared" ca="1" si="6"/>
        <v/>
      </c>
      <c r="AX42" s="98" t="str">
        <f t="shared" ca="1" si="7"/>
        <v/>
      </c>
      <c r="AY42" s="98" t="str">
        <f t="shared" ca="1" si="8"/>
        <v/>
      </c>
      <c r="AZ42" s="98" t="str">
        <f t="shared" ca="1" si="9"/>
        <v/>
      </c>
      <c r="BA42" s="98" t="str">
        <f t="shared" ca="1" si="10"/>
        <v/>
      </c>
      <c r="BB42" s="98" t="str">
        <f t="shared" ca="1" si="11"/>
        <v/>
      </c>
      <c r="BC42" s="98" t="str">
        <f t="shared" ca="1" si="12"/>
        <v/>
      </c>
      <c r="BD42" s="98" t="str">
        <f t="shared" ca="1" si="13"/>
        <v/>
      </c>
      <c r="BE42" s="98" t="str">
        <f>IF($BL42="","",
   IF($T42=入力不可用2,
      IF(OR($BL42=マスタ!$C$5,$BL42=マスタ!$C$8), "未入力", "（正常）規定値"),
      IF(OR($BL42=マスタ!$C$5,$BL42=マスタ!$C$8), "（正常）規定値", "（エラー）値入力不可")))</f>
        <v/>
      </c>
      <c r="BF42" s="98" t="str">
        <f ca="1">IF($C42 = "", "",
       IF(AND(OR($BL42=マスタ!$C$5, $BL42=マスタ!$C$8), $T42 = ""), "未入力",
            IF(AND($Y42 = $BM$9, $T42 = $BO$9), "（エラー）「適合」のみ入力可", "（正常）規定値")))</f>
        <v/>
      </c>
      <c r="BG42" s="98" t="str">
        <f t="shared" ca="1" si="14"/>
        <v/>
      </c>
      <c r="BH42" s="98" t="str">
        <f t="shared" ca="1" si="15"/>
        <v/>
      </c>
      <c r="BI42" s="98" t="str">
        <f>IF($BL42="","",
   IF($Y42=入力不可用2,
      IF(OR($BL42=マスタ!$C$5,$BL42=マスタ!$C$8), "未入力", "（正常）規定値"),
      IF(OR($BL42=マスタ!$C$5,$BL42=マスタ!$C$8), "（正常）規定値", "（エラー）値入力不可")))</f>
        <v/>
      </c>
      <c r="BJ42" s="98" t="str">
        <f>IF($AA42="", "",
        IF($AA42=マスタ!$F$3,
             IF($AB42="", "未入力", "（正常）規定値"),
                  IF($AA42=マスタ!$F$4,
                       IF($AB42&lt;&gt;入力不可用2, "（エラー）値入力不可", "（正常）規定値"))))</f>
        <v/>
      </c>
      <c r="BL42" s="75" t="str">
        <f>IF(OR($F42 = マスタ!$C$5, F42 = マスタ!$C$8), $F42,
        IF(AND($F42 = マスタ!$C$3, 'その１事業者基本情報_入力シート（一部非公開）'!$U$16), $F42,
             IF(AND($F42 = マスタ!$C$4, 'その１事業者基本情報_入力シート（一部非公開）'!$S$16), $F42,
                  IF(AND(OR($F42 = マスタ!$C$6, $F42 = マスタ!$C$7),
                                'その１事業者基本情報_入力シート（一部非公開）'!$W$16), $F42,
                       IF(OR($F42 = マスタ!$C$3, $F42=マスタ!$C$4), マスタ!$C$5,
                            IF(OR($F42 = マスタ!$C$6, $F42 = マスタ!$C$7), マスタ!$C$8, ""))))))</f>
        <v/>
      </c>
      <c r="BM42" s="75" t="str">
        <f>IF($L42&lt;&gt;"", $L42,
       IF($M42 = マスタ!$B$3,
          IF(OR($F42=マスタ!$C$3,$F42=マスタ!$C$4,$F42=マスタ!$C$5),
            IF(OR($G42 = マスタ!$D$54, $G42 = マスタ!$D$55), 0.75, 0.87),
            IF(OR($G42 = マスタ!$D$54, $G42 = マスタ!$D$55), 0.62, 0.72)),
                 IF(ISBLANK($L42), "", $L42)))</f>
        <v/>
      </c>
      <c r="BN42" s="99" t="str">
        <f>IF($L42&lt;&gt;"", $L42,
        IF($O42 = マスタ!$B$3,
          IF(OR($F42=マスタ!$C$3,$F42=マスタ!$C$4,$F42=マスタ!$C$5), 0.6, 0.5),
             IF(ISBLANK($L42), "", $L42)))</f>
        <v/>
      </c>
      <c r="BO42" s="99" t="str">
        <f>IF($T42&lt;&gt;マスタ!$B$3,
        IF(ISBLANK($S42),"",$S42),
             IF($BL42=マスタ!$C$3,0.8,
             IF($BL42=マスタ!$C$4,0.85,
             IF($BL42=マスタ!$C$6,0.9,
             IF($BL42=マスタ!$C$7,0.9,
             IF($BL42=マスタ!$C$5,1,
             IF($BL42=マスタ!$C$8,1,"無効な入力")))))))</f>
        <v/>
      </c>
      <c r="BP42" s="99" t="str">
        <f>IF($Y42&lt;&gt;マスタ!$B$3,
   IF(ISBLANK($X42), "", $X42),
   IF($BL42=マスタ!$C$3, 0.75,
      IF($BL42=マスタ!$C$4, 0.8,
         IF($BL42=マスタ!$C$6, 0.8,
            IF($BL42=マスタ!$C$7, 0.8,
               IF($BL42=マスタ!$C$5, 0.8,
                  IF($BL42=マスタ!$C$8, 0.8, "無効な入力")))))))</f>
        <v/>
      </c>
      <c r="BQ42" s="75"/>
      <c r="BR42" s="75"/>
      <c r="BS42" s="75"/>
      <c r="BT42" s="75"/>
      <c r="BU42" s="75"/>
      <c r="BV42" s="75"/>
      <c r="BW42" s="75"/>
      <c r="BX42" s="75"/>
      <c r="BY42" s="75"/>
    </row>
    <row r="43" spans="3:77" ht="30.75" customHeight="1">
      <c r="C43" s="69" t="str" cm="1">
        <f t="array" aca="1" ref="C43" ca="1">IF(SUMPRODUCT(--($D43:$AU43 &lt;&gt; "")),RIGHT(YEAR(TODAY()),2)&amp;"01"&amp;REPT("0",4-LEN(ROW()-11))&amp;ROW()-11,"")</f>
        <v/>
      </c>
      <c r="D43" s="141"/>
      <c r="E43" s="142"/>
      <c r="F43" s="71"/>
      <c r="G43" s="66"/>
      <c r="H43" s="41" t="str">
        <f>IFERROR(VLOOKUP(G43,マスタ!$D$3:$E$55,2,FALSE),"")</f>
        <v/>
      </c>
      <c r="I43" s="93"/>
      <c r="J43" s="77"/>
      <c r="K43" s="66"/>
      <c r="L43" s="103"/>
      <c r="M43" s="71"/>
      <c r="N43" s="101" t="str">
        <f>IF($M43 = $BM$9, $BM$9,
        IF($L43 = "", "",
              IF(OR(
                          AND(OR($G43 = マスタ!$D$54, $G43 = マスタ!$D$55), $L43 &lt;= $BP$9),
                          AND($G43 &lt;&gt; マスタ!$D$54, $G43 &lt;&gt; マスタ!$D$55, $L43 &lt;= $BQ$9)
                         ), $BM$9, $BN$9)))</f>
        <v/>
      </c>
      <c r="O43" s="71"/>
      <c r="P43" s="101" t="str">
        <f t="shared" si="1"/>
        <v/>
      </c>
      <c r="Q43" s="124"/>
      <c r="R43" s="124"/>
      <c r="S43" s="112" t="str">
        <f t="shared" si="19"/>
        <v/>
      </c>
      <c r="T43" s="71"/>
      <c r="U43" s="41" t="str">
        <f>IF($T43=$BM$9, $BM$9,
        IF($S43="", "",
             IF(OR(AND($BL43=マスタ!$C$3, $S43&lt;=$BS$9),
                        AND($BL43=マスタ!$C$4, $S43&lt;=$BT$9),
                        AND(OR($BL43=マスタ!$C$6, $BL43=マスタ!$C$7), $S43&lt;=$BU$9),
                        AND(OR($BL43=マスタ!$C$5, $BL43=マスタ!$C$8), $S43&lt;=$BV$9)),
                  $BM$9, $BN$9)))</f>
        <v/>
      </c>
      <c r="V43" s="129" t="str">
        <f t="shared" si="16"/>
        <v/>
      </c>
      <c r="W43" s="124"/>
      <c r="X43" s="112" t="str">
        <f t="shared" si="20"/>
        <v/>
      </c>
      <c r="Y43" s="71"/>
      <c r="Z43" s="41" t="str">
        <f>IF($Y43=$BM$9, $BM$9,
        IF(AND($T43 = $BM$9, $Y43 = $BO$9), $BN$9,
             IF($BL43=マスタ!$C$3,
                  IF($X43&lt;=$BW$9, $BM$9,$BN$9),
                       IF(OR($BL43=マスタ!$C$4, $BL43=マスタ!$C$5, $BL43=マスタ!$C$6, $BL43=マスタ!$C$7, $BL43=マスタ!$C$8),
                            IF($X43&lt;=$BX$9, $BM$9,$BN$9), ""))))</f>
        <v/>
      </c>
      <c r="AA43" s="71"/>
      <c r="AB43" s="71"/>
      <c r="AC43" s="71"/>
      <c r="AD43" s="165"/>
      <c r="AE43" s="71"/>
      <c r="AF43" s="165"/>
      <c r="AG43" s="92"/>
      <c r="AH43" s="92"/>
      <c r="AI43" s="92"/>
      <c r="AJ43" s="92"/>
      <c r="AK43" s="121"/>
      <c r="AL43" s="121"/>
      <c r="AM43" s="121"/>
      <c r="AN43" s="121"/>
      <c r="AO43" s="92"/>
      <c r="AP43" s="130" t="str">
        <f t="shared" si="5"/>
        <v/>
      </c>
      <c r="AQ43" s="121"/>
      <c r="AR43" s="101" t="str">
        <f>IF(OR(SUMPRODUCT(--(AJ43:AQ43&lt;&gt;""))&lt;7,AND($AJ43=マスタ!$N$3,$AK43="")), "",
        IF($AJ43=マスタ!$N$5, $BO$9,
              IF(OR($F43=マスタ!$C$3, $F43=マスタ!$C$4, $F43=マスタ!$C$5),
                    IF(SUM($AL43,$AM43,$AP43,$AQ43)&gt;=1, $BM$9, $BN$9),
              IF(OR($F43=マスタ!$C$6, $F43=マスタ!$C$7, $F43=マスタ!$C$8),
                    IF($AK43&lt;10, $BO$9,
                          IF(AND(SUM($AL43,$AM43,$AP43,$AQ43)&gt;=($AK43*0.2), $AM43+$AP43+$AQ43&gt;=1),
                               $BM$9,$BN$9))))))</f>
        <v/>
      </c>
      <c r="AS43" s="101" t="str">
        <f>IF(OR(SUMPRODUCT(--(AJ43:AQ43&lt;&gt;""))&lt;7,AND($AJ43=マスタ!$N$3,$AK43="")), "",
     IF($AR43=$BN$9,$BN$9,
        IF($AJ43=マスタ!$N$5, $BO$9,
             IF(OR($F43=マスタ!$C$3, $F43=マスタ!$C$4, $F43=マスタ!$C$5),
                   IF($AQ43&gt;=1, $BM$9, $BN$9),
             IF(OR($F43=マスタ!$C$6, $F43=マスタ!$C$7, $F43=マスタ!$C$8),
                   IF($AK43&lt;5, IF($AQ43&gt;=1, $BM$9, $BN$9),
                         IF(OR($AQ43&gt;=1,
                                    AND(SUM($AL43,$AM43,$AP43,$AQ43)&gt;=$AK43*0.5, ($AM43+$AP43+$AQ43)&gt;=($AK43*0.2))),
                              $BM$9,$BN$9)))))))</f>
        <v/>
      </c>
      <c r="AT43" s="66"/>
      <c r="AU43" s="143"/>
      <c r="AV43" s="98" t="str" cm="1">
        <f t="array" aca="1" ref="AV43" ca="1">IF(AND($F43:$G43&lt;&gt;"", $I43:$K43&lt;&gt;"",
                 IF(OR($M43=$BM$9,$O43=$BM$9), TRUE, $L43&lt;&gt;""),
                 $M43&lt;&gt;"",$O43&lt;&gt;"",
                 IF($T43=$BM$9, TRUE, $Q43:$R43&lt;&gt;""),
                 IF(AND($BL43&lt;&gt;"", $BL43&lt;&gt;マスタ!$C$5, $BL43&lt;&gt;マスタ!$C$8), TRUE, $T43&lt;&gt;""),
                 IF(OR(AND($T43=$BM$9,  $Y43=$BO$9), $Y43=$BM$9), TRUE,$W43&lt;&gt;""),
                 IF(AND($BL43&lt;&gt;"", $BL43&lt;&gt;マスタ!$C$5, $BL43&lt;&gt;マスタ!$C$8), TRUE, $Y43&lt;&gt;""),
                 $AA43&lt;&gt;"",
                 IF($AA43=マスタ!$F$4, TRUE, $AB43&lt;&gt;""),
                 $AG43:$AO43&lt;&gt;"", $AQ43&lt;&gt;"", $AT43&lt;&gt;""),
        "（正常）入力済み", IF($C43= "", "（複数入力）未入力", "（エラー）一部未入力"))</f>
        <v>（複数入力）未入力</v>
      </c>
      <c r="AW43" s="98" t="str">
        <f t="shared" ca="1" si="6"/>
        <v/>
      </c>
      <c r="AX43" s="98" t="str">
        <f t="shared" ca="1" si="7"/>
        <v/>
      </c>
      <c r="AY43" s="98" t="str">
        <f t="shared" ca="1" si="8"/>
        <v/>
      </c>
      <c r="AZ43" s="98" t="str">
        <f t="shared" ca="1" si="9"/>
        <v/>
      </c>
      <c r="BA43" s="98" t="str">
        <f t="shared" ca="1" si="10"/>
        <v/>
      </c>
      <c r="BB43" s="98" t="str">
        <f t="shared" ca="1" si="11"/>
        <v/>
      </c>
      <c r="BC43" s="98" t="str">
        <f t="shared" ca="1" si="12"/>
        <v/>
      </c>
      <c r="BD43" s="98" t="str">
        <f t="shared" ca="1" si="13"/>
        <v/>
      </c>
      <c r="BE43" s="98" t="str">
        <f>IF($BL43="","",
   IF($T43=入力不可用2,
      IF(OR($BL43=マスタ!$C$5,$BL43=マスタ!$C$8), "未入力", "（正常）規定値"),
      IF(OR($BL43=マスタ!$C$5,$BL43=マスタ!$C$8), "（正常）規定値", "（エラー）値入力不可")))</f>
        <v/>
      </c>
      <c r="BF43" s="98" t="str">
        <f ca="1">IF($C43 = "", "",
       IF(AND(OR($BL43=マスタ!$C$5, $BL43=マスタ!$C$8), $T43 = ""), "未入力",
            IF(AND($Y43 = $BM$9, $T43 = $BO$9), "（エラー）「適合」のみ入力可", "（正常）規定値")))</f>
        <v/>
      </c>
      <c r="BG43" s="98" t="str">
        <f t="shared" ca="1" si="14"/>
        <v/>
      </c>
      <c r="BH43" s="98" t="str">
        <f t="shared" ca="1" si="15"/>
        <v/>
      </c>
      <c r="BI43" s="98" t="str">
        <f>IF($BL43="","",
   IF($Y43=入力不可用2,
      IF(OR($BL43=マスタ!$C$5,$BL43=マスタ!$C$8), "未入力", "（正常）規定値"),
      IF(OR($BL43=マスタ!$C$5,$BL43=マスタ!$C$8), "（正常）規定値", "（エラー）値入力不可")))</f>
        <v/>
      </c>
      <c r="BJ43" s="98" t="str">
        <f>IF($AA43="", "",
        IF($AA43=マスタ!$F$3,
             IF($AB43="", "未入力", "（正常）規定値"),
                  IF($AA43=マスタ!$F$4,
                       IF($AB43&lt;&gt;入力不可用2, "（エラー）値入力不可", "（正常）規定値"))))</f>
        <v/>
      </c>
      <c r="BL43" s="75" t="str">
        <f>IF(OR($F43 = マスタ!$C$5, F43 = マスタ!$C$8), $F43,
        IF(AND($F43 = マスタ!$C$3, 'その１事業者基本情報_入力シート（一部非公開）'!$U$16), $F43,
             IF(AND($F43 = マスタ!$C$4, 'その１事業者基本情報_入力シート（一部非公開）'!$S$16), $F43,
                  IF(AND(OR($F43 = マスタ!$C$6, $F43 = マスタ!$C$7),
                                'その１事業者基本情報_入力シート（一部非公開）'!$W$16), $F43,
                       IF(OR($F43 = マスタ!$C$3, $F43=マスタ!$C$4), マスタ!$C$5,
                            IF(OR($F43 = マスタ!$C$6, $F43 = マスタ!$C$7), マスタ!$C$8, ""))))))</f>
        <v/>
      </c>
      <c r="BM43" s="75" t="str">
        <f>IF($L43&lt;&gt;"", $L43,
       IF($M43 = マスタ!$B$3,
          IF(OR($F43=マスタ!$C$3,$F43=マスタ!$C$4,$F43=マスタ!$C$5),
            IF(OR($G43 = マスタ!$D$54, $G43 = マスタ!$D$55), 0.75, 0.87),
            IF(OR($G43 = マスタ!$D$54, $G43 = マスタ!$D$55), 0.62, 0.72)),
                 IF(ISBLANK($L43), "", $L43)))</f>
        <v/>
      </c>
      <c r="BN43" s="99" t="str">
        <f>IF($L43&lt;&gt;"", $L43,
        IF($O43 = マスタ!$B$3,
          IF(OR($F43=マスタ!$C$3,$F43=マスタ!$C$4,$F43=マスタ!$C$5), 0.6, 0.5),
             IF(ISBLANK($L43), "", $L43)))</f>
        <v/>
      </c>
      <c r="BO43" s="99" t="str">
        <f>IF($T43&lt;&gt;マスタ!$B$3,
        IF(ISBLANK($S43),"",$S43),
             IF($BL43=マスタ!$C$3,0.8,
             IF($BL43=マスタ!$C$4,0.85,
             IF($BL43=マスタ!$C$6,0.9,
             IF($BL43=マスタ!$C$7,0.9,
             IF($BL43=マスタ!$C$5,1,
             IF($BL43=マスタ!$C$8,1,"無効な入力")))))))</f>
        <v/>
      </c>
      <c r="BP43" s="99" t="str">
        <f>IF($Y43&lt;&gt;マスタ!$B$3,
   IF(ISBLANK($X43), "", $X43),
   IF($BL43=マスタ!$C$3, 0.75,
      IF($BL43=マスタ!$C$4, 0.8,
         IF($BL43=マスタ!$C$6, 0.8,
            IF($BL43=マスタ!$C$7, 0.8,
               IF($BL43=マスタ!$C$5, 0.8,
                  IF($BL43=マスタ!$C$8, 0.8, "無効な入力")))))))</f>
        <v/>
      </c>
      <c r="BQ43" s="75"/>
      <c r="BR43" s="75"/>
      <c r="BS43" s="75"/>
      <c r="BT43" s="75"/>
      <c r="BU43" s="75"/>
      <c r="BV43" s="75"/>
      <c r="BW43" s="75"/>
      <c r="BX43" s="75"/>
      <c r="BY43" s="75"/>
    </row>
    <row r="44" spans="3:77" ht="30.75" customHeight="1">
      <c r="C44" s="69" t="str" cm="1">
        <f t="array" aca="1" ref="C44" ca="1">IF(SUMPRODUCT(--($D44:$AU44 &lt;&gt; "")),RIGHT(YEAR(TODAY()),2)&amp;"01"&amp;REPT("0",4-LEN(ROW()-11))&amp;ROW()-11,"")</f>
        <v/>
      </c>
      <c r="D44" s="141"/>
      <c r="E44" s="142"/>
      <c r="F44" s="71"/>
      <c r="G44" s="66"/>
      <c r="H44" s="41" t="str">
        <f>IFERROR(VLOOKUP(G44,マスタ!$D$3:$E$55,2,FALSE),"")</f>
        <v/>
      </c>
      <c r="I44" s="93"/>
      <c r="J44" s="77"/>
      <c r="K44" s="66"/>
      <c r="L44" s="103"/>
      <c r="M44" s="71"/>
      <c r="N44" s="101" t="str">
        <f>IF($M44 = $BM$9, $BM$9,
        IF($L44 = "", "",
              IF(OR(
                          AND(OR($G44 = マスタ!$D$54, $G44 = マスタ!$D$55), $L44 &lt;= $BP$9),
                          AND($G44 &lt;&gt; マスタ!$D$54, $G44 &lt;&gt; マスタ!$D$55, $L44 &lt;= $BQ$9)
                         ), $BM$9, $BN$9)))</f>
        <v/>
      </c>
      <c r="O44" s="71"/>
      <c r="P44" s="101" t="str">
        <f t="shared" ref="P44:P75" si="21">IF($O44 = $BM$9, $BM$9,
        IF(AND($M44 = $BM$9, $O44 = $BO$9), $BN$9,
             IF($L44 = "", "",
                   IF($L44 &lt;= $BR$9, $BM$9, $BN$9))))</f>
        <v/>
      </c>
      <c r="Q44" s="124"/>
      <c r="R44" s="124"/>
      <c r="S44" s="112" t="str">
        <f t="shared" si="19"/>
        <v/>
      </c>
      <c r="T44" s="71"/>
      <c r="U44" s="41" t="str">
        <f>IF($T44=$BM$9, $BM$9,
        IF($S44="", "",
             IF(OR(AND($BL44=マスタ!$C$3, $S44&lt;=$BS$9),
                        AND($BL44=マスタ!$C$4, $S44&lt;=$BT$9),
                        AND(OR($BL44=マスタ!$C$6, $BL44=マスタ!$C$7), $S44&lt;=$BU$9),
                        AND(OR($BL44=マスタ!$C$5, $BL44=マスタ!$C$8), $S44&lt;=$BV$9)),
                  $BM$9, $BN$9)))</f>
        <v/>
      </c>
      <c r="V44" s="129" t="str">
        <f t="shared" si="16"/>
        <v/>
      </c>
      <c r="W44" s="124"/>
      <c r="X44" s="112" t="str">
        <f t="shared" si="20"/>
        <v/>
      </c>
      <c r="Y44" s="71"/>
      <c r="Z44" s="41" t="str">
        <f>IF($Y44=$BM$9, $BM$9,
        IF(AND($T44 = $BM$9, $Y44 = $BO$9), $BN$9,
             IF($BL44=マスタ!$C$3,
                  IF($X44&lt;=$BW$9, $BM$9,$BN$9),
                       IF(OR($BL44=マスタ!$C$4, $BL44=マスタ!$C$5, $BL44=マスタ!$C$6, $BL44=マスタ!$C$7, $BL44=マスタ!$C$8),
                            IF($X44&lt;=$BX$9, $BM$9,$BN$9), ""))))</f>
        <v/>
      </c>
      <c r="AA44" s="71"/>
      <c r="AB44" s="71"/>
      <c r="AC44" s="71"/>
      <c r="AD44" s="165"/>
      <c r="AE44" s="71"/>
      <c r="AF44" s="165"/>
      <c r="AG44" s="92"/>
      <c r="AH44" s="92"/>
      <c r="AI44" s="92"/>
      <c r="AJ44" s="92"/>
      <c r="AK44" s="121"/>
      <c r="AL44" s="121"/>
      <c r="AM44" s="121"/>
      <c r="AN44" s="121"/>
      <c r="AO44" s="92"/>
      <c r="AP44" s="130" t="str">
        <f t="shared" si="5"/>
        <v/>
      </c>
      <c r="AQ44" s="121"/>
      <c r="AR44" s="101" t="str">
        <f>IF(OR(SUMPRODUCT(--(AJ44:AQ44&lt;&gt;""))&lt;7,AND($AJ44=マスタ!$N$3,$AK44="")), "",
        IF($AJ44=マスタ!$N$5, $BO$9,
              IF(OR($F44=マスタ!$C$3, $F44=マスタ!$C$4, $F44=マスタ!$C$5),
                    IF(SUM($AL44,$AM44,$AP44,$AQ44)&gt;=1, $BM$9, $BN$9),
              IF(OR($F44=マスタ!$C$6, $F44=マスタ!$C$7, $F44=マスタ!$C$8),
                    IF($AK44&lt;10, $BO$9,
                          IF(AND(SUM($AL44,$AM44,$AP44,$AQ44)&gt;=($AK44*0.2), $AM44+$AP44+$AQ44&gt;=1),
                               $BM$9,$BN$9))))))</f>
        <v/>
      </c>
      <c r="AS44" s="101" t="str">
        <f>IF(OR(SUMPRODUCT(--(AJ44:AQ44&lt;&gt;""))&lt;7,AND($AJ44=マスタ!$N$3,$AK44="")), "",
     IF($AR44=$BN$9,$BN$9,
        IF($AJ44=マスタ!$N$5, $BO$9,
             IF(OR($F44=マスタ!$C$3, $F44=マスタ!$C$4, $F44=マスタ!$C$5),
                   IF($AQ44&gt;=1, $BM$9, $BN$9),
             IF(OR($F44=マスタ!$C$6, $F44=マスタ!$C$7, $F44=マスタ!$C$8),
                   IF($AK44&lt;5, IF($AQ44&gt;=1, $BM$9, $BN$9),
                         IF(OR($AQ44&gt;=1,
                                    AND(SUM($AL44,$AM44,$AP44,$AQ44)&gt;=$AK44*0.5, ($AM44+$AP44+$AQ44)&gt;=($AK44*0.2))),
                              $BM$9,$BN$9)))))))</f>
        <v/>
      </c>
      <c r="AT44" s="66"/>
      <c r="AU44" s="143"/>
      <c r="AV44" s="98" t="str" cm="1">
        <f t="array" aca="1" ref="AV44" ca="1">IF(AND($F44:$G44&lt;&gt;"", $I44:$K44&lt;&gt;"",
                 IF(OR($M44=$BM$9,$O44=$BM$9), TRUE, $L44&lt;&gt;""),
                 $M44&lt;&gt;"",$O44&lt;&gt;"",
                 IF($T44=$BM$9, TRUE, $Q44:$R44&lt;&gt;""),
                 IF(AND($BL44&lt;&gt;"", $BL44&lt;&gt;マスタ!$C$5, $BL44&lt;&gt;マスタ!$C$8), TRUE, $T44&lt;&gt;""),
                 IF(OR(AND($T44=$BM$9,  $Y44=$BO$9), $Y44=$BM$9), TRUE,$W44&lt;&gt;""),
                 IF(AND($BL44&lt;&gt;"", $BL44&lt;&gt;マスタ!$C$5, $BL44&lt;&gt;マスタ!$C$8), TRUE, $Y44&lt;&gt;""),
                 $AA44&lt;&gt;"",
                 IF($AA44=マスタ!$F$4, TRUE, $AB44&lt;&gt;""),
                 $AG44:$AO44&lt;&gt;"", $AQ44&lt;&gt;"", $AT44&lt;&gt;""),
        "（正常）入力済み", IF($C44= "", "（複数入力）未入力", "（エラー）一部未入力"))</f>
        <v>（複数入力）未入力</v>
      </c>
      <c r="AW44" s="98" t="str">
        <f t="shared" ca="1" si="6"/>
        <v/>
      </c>
      <c r="AX44" s="98" t="str">
        <f t="shared" ref="AX44:AX75" ca="1" si="22">IF($C44="", "", IF(L44="",IF(OR($M44=$BM$9, $O44=$BM$9), "（正常）入力不要", "未入力"),
        IF(LEN(
                      MID(L44,FIND(".",L44&amp;".")+1,LEN(L44))
                     )&gt;2, "（エラー）小数第2位以下切り上げ要", "（正常）規定内の桁数")))</f>
        <v/>
      </c>
      <c r="AY44" s="98" t="str">
        <f t="shared" ref="AY44:AY75" ca="1" si="23">IF($C44="", "", IF(OR($M44=$BM$9, $O44=$BM$9),
                                 IF($L44&lt;&gt;"", "（エラー）値入力不可", "（正常）入力不要"),
                                      IF($L44&lt;&gt;"","（正常）規定値","未入力")))</f>
        <v/>
      </c>
      <c r="AZ44" s="98" t="str">
        <f t="shared" ref="AZ44:AZ75" ca="1" si="24">IF($C44 = "", "",
       IF($M44 = "", "未入力",
            IF(AND($O44 = $BM$9, $M44 = $BO$9), "（エラー）「適合」のみ入力可", "（正常）規定値")))</f>
        <v/>
      </c>
      <c r="BA44" s="98" t="str">
        <f t="shared" ref="BA44:BA75" ca="1" si="25">IF($C44="", "", IF(Q44="", IF($T44=$BM$9, "（正常）入力不要", "未入力"),
        IF(LEN(
                      MID(Q44,FIND(".",Q44&amp;".")+1,LEN(Q44))
                     )&gt;1, "（エラー）小数第2位以下切り上げ要", "（正常）規定内の桁数")))</f>
        <v/>
      </c>
      <c r="BB44" s="98" t="str">
        <f t="shared" ref="BB44:BB75" ca="1" si="26">IF($C44="", "", IF($T44=$BM$9,
                                 IF($Q44&lt;&gt;"", "（エラー）値入力不可", "（正常）規定値"),
                                      IF($Q44&lt;&gt;"","（正常）規定値","未入力")))</f>
        <v/>
      </c>
      <c r="BC44" s="98" t="str">
        <f t="shared" ref="BC44:BC75" ca="1" si="27">IF($C44="", "", IF(R44="", IF($T44=$BM$9, "（正常）入力不要", "未入力"),
        IF(LEN(
                      MID(R44,FIND(".",R44&amp;".")+1,LEN(R44))
                     )&gt;1, "（エラー）小数第2位以下切り上げ要", "（正常）規定内の桁数")))</f>
        <v/>
      </c>
      <c r="BD44" s="98" t="str">
        <f t="shared" ref="BD44:BD75" ca="1" si="28">IF($C44="", "", IF($T44=$BM$9,
                                 IF($R44&lt;&gt;"", "（エラー）値入力不可", "（正常）規定値"),
                                      IF($R44&lt;&gt;"","（正常）規定値","未入力")))</f>
        <v/>
      </c>
      <c r="BE44" s="98" t="str">
        <f>IF($BL44="","",
   IF($T44=入力不可用2,
      IF(OR($BL44=マスタ!$C$5,$BL44=マスタ!$C$8), "未入力", "（正常）規定値"),
      IF(OR($BL44=マスタ!$C$5,$BL44=マスタ!$C$8), "（正常）規定値", "（エラー）値入力不可")))</f>
        <v/>
      </c>
      <c r="BF44" s="98" t="str">
        <f ca="1">IF($C44 = "", "",
       IF(AND(OR($BL44=マスタ!$C$5, $BL44=マスタ!$C$8), $T44 = ""), "未入力",
            IF(AND($Y44 = $BM$9, $T44 = $BO$9), "（エラー）「適合」のみ入力可", "（正常）規定値")))</f>
        <v/>
      </c>
      <c r="BG44" s="98" t="str">
        <f t="shared" ref="BG44:BG75" ca="1" si="29">IF($C44="", "", IF(W44="", IF(OR($T44=$BM$9, $Y44=$BM$9), "（正常）入力不要", "未入力"),
        IF(LEN(
                      MID(W44,FIND(".",W44&amp;".")+1,LEN(W44))
                     )&gt;1, "（エラー）小数第2位以下切り上げ要", "（正常）規定内の桁数")))</f>
        <v/>
      </c>
      <c r="BH44" s="98" t="str">
        <f t="shared" ref="BH44:BH75" ca="1" si="30">IF($C44="","",
  IF($W44&lt;&gt;"",
    IF($Y44=$BM$9,"（エラー）値入力不可","（正常）規定値"),
    IF(OR($Y44=$BM$9, $T44=$BM$9),"（正常）入力不要","未入力")))</f>
        <v/>
      </c>
      <c r="BI44" s="98" t="str">
        <f>IF($BL44="","",
   IF($Y44=入力不可用2,
      IF(OR($BL44=マスタ!$C$5,$BL44=マスタ!$C$8), "未入力", "（正常）規定値"),
      IF(OR($BL44=マスタ!$C$5,$BL44=マスタ!$C$8), "（正常）規定値", "（エラー）値入力不可")))</f>
        <v/>
      </c>
      <c r="BJ44" s="98" t="str">
        <f>IF($AA44="", "",
        IF($AA44=マスタ!$F$3,
             IF($AB44="", "未入力", "（正常）規定値"),
                  IF($AA44=マスタ!$F$4,
                       IF($AB44&lt;&gt;入力不可用2, "（エラー）値入力不可", "（正常）規定値"))))</f>
        <v/>
      </c>
      <c r="BL44" s="75" t="str">
        <f>IF(OR($F44 = マスタ!$C$5, F44 = マスタ!$C$8), $F44,
        IF(AND($F44 = マスタ!$C$3, 'その１事業者基本情報_入力シート（一部非公開）'!$U$16), $F44,
             IF(AND($F44 = マスタ!$C$4, 'その１事業者基本情報_入力シート（一部非公開）'!$S$16), $F44,
                  IF(AND(OR($F44 = マスタ!$C$6, $F44 = マスタ!$C$7),
                                'その１事業者基本情報_入力シート（一部非公開）'!$W$16), $F44,
                       IF(OR($F44 = マスタ!$C$3, $F44=マスタ!$C$4), マスタ!$C$5,
                            IF(OR($F44 = マスタ!$C$6, $F44 = マスタ!$C$7), マスタ!$C$8, ""))))))</f>
        <v/>
      </c>
      <c r="BM44" s="75" t="str">
        <f>IF($L44&lt;&gt;"", $L44,
       IF($M44 = マスタ!$B$3,
          IF(OR($F44=マスタ!$C$3,$F44=マスタ!$C$4,$F44=マスタ!$C$5),
            IF(OR($G44 = マスタ!$D$54, $G44 = マスタ!$D$55), 0.75, 0.87),
            IF(OR($G44 = マスタ!$D$54, $G44 = マスタ!$D$55), 0.62, 0.72)),
                 IF(ISBLANK($L44), "", $L44)))</f>
        <v/>
      </c>
      <c r="BN44" s="99" t="str">
        <f>IF($L44&lt;&gt;"", $L44,
        IF($O44 = マスタ!$B$3,
          IF(OR($F44=マスタ!$C$3,$F44=マスタ!$C$4,$F44=マスタ!$C$5), 0.6, 0.5),
             IF(ISBLANK($L44), "", $L44)))</f>
        <v/>
      </c>
      <c r="BO44" s="99" t="str">
        <f>IF($T44&lt;&gt;マスタ!$B$3,
        IF(ISBLANK($S44),"",$S44),
             IF($BL44=マスタ!$C$3,0.8,
             IF($BL44=マスタ!$C$4,0.85,
             IF($BL44=マスタ!$C$6,0.9,
             IF($BL44=マスタ!$C$7,0.9,
             IF($BL44=マスタ!$C$5,1,
             IF($BL44=マスタ!$C$8,1,"無効な入力")))))))</f>
        <v/>
      </c>
      <c r="BP44" s="99" t="str">
        <f>IF($Y44&lt;&gt;マスタ!$B$3,
   IF(ISBLANK($X44), "", $X44),
   IF($BL44=マスタ!$C$3, 0.75,
      IF($BL44=マスタ!$C$4, 0.8,
         IF($BL44=マスタ!$C$6, 0.8,
            IF($BL44=マスタ!$C$7, 0.8,
               IF($BL44=マスタ!$C$5, 0.8,
                  IF($BL44=マスタ!$C$8, 0.8, "無効な入力")))))))</f>
        <v/>
      </c>
      <c r="BQ44" s="75"/>
      <c r="BR44" s="75"/>
      <c r="BS44" s="75"/>
      <c r="BT44" s="75"/>
      <c r="BU44" s="75"/>
      <c r="BV44" s="75"/>
      <c r="BW44" s="75"/>
      <c r="BX44" s="75"/>
      <c r="BY44" s="75"/>
    </row>
    <row r="45" spans="3:77" ht="30.75" customHeight="1">
      <c r="C45" s="69" t="str" cm="1">
        <f t="array" aca="1" ref="C45" ca="1">IF(SUMPRODUCT(--($D45:$AU45 &lt;&gt; "")),RIGHT(YEAR(TODAY()),2)&amp;"01"&amp;REPT("0",4-LEN(ROW()-11))&amp;ROW()-11,"")</f>
        <v/>
      </c>
      <c r="D45" s="141"/>
      <c r="E45" s="142"/>
      <c r="F45" s="71"/>
      <c r="G45" s="66"/>
      <c r="H45" s="41" t="str">
        <f>IFERROR(VLOOKUP(G45,マスタ!$D$3:$E$55,2,FALSE),"")</f>
        <v/>
      </c>
      <c r="I45" s="93"/>
      <c r="J45" s="77"/>
      <c r="K45" s="66"/>
      <c r="L45" s="103"/>
      <c r="M45" s="71"/>
      <c r="N45" s="101" t="str">
        <f>IF($M45 = $BM$9, $BM$9,
        IF($L45 = "", "",
              IF(OR(
                          AND(OR($G45 = マスタ!$D$54, $G45 = マスタ!$D$55), $L45 &lt;= $BP$9),
                          AND($G45 &lt;&gt; マスタ!$D$54, $G45 &lt;&gt; マスタ!$D$55, $L45 &lt;= $BQ$9)
                         ), $BM$9, $BN$9)))</f>
        <v/>
      </c>
      <c r="O45" s="71"/>
      <c r="P45" s="101" t="str">
        <f t="shared" si="21"/>
        <v/>
      </c>
      <c r="Q45" s="124"/>
      <c r="R45" s="124"/>
      <c r="S45" s="112" t="str">
        <f t="shared" si="19"/>
        <v/>
      </c>
      <c r="T45" s="71"/>
      <c r="U45" s="41" t="str">
        <f>IF($T45=$BM$9, $BM$9,
        IF($S45="", "",
             IF(OR(AND($BL45=マスタ!$C$3, $S45&lt;=$BS$9),
                        AND($BL45=マスタ!$C$4, $S45&lt;=$BT$9),
                        AND(OR($BL45=マスタ!$C$6, $BL45=マスタ!$C$7), $S45&lt;=$BU$9),
                        AND(OR($BL45=マスタ!$C$5, $BL45=マスタ!$C$8), $S45&lt;=$BV$9)),
                  $BM$9, $BN$9)))</f>
        <v/>
      </c>
      <c r="V45" s="129" t="str">
        <f t="shared" si="16"/>
        <v/>
      </c>
      <c r="W45" s="124"/>
      <c r="X45" s="112" t="str">
        <f t="shared" si="20"/>
        <v/>
      </c>
      <c r="Y45" s="71"/>
      <c r="Z45" s="41" t="str">
        <f>IF($Y45=$BM$9, $BM$9,
        IF(AND($T45 = $BM$9, $Y45 = $BO$9), $BN$9,
             IF($BL45=マスタ!$C$3,
                  IF($X45&lt;=$BW$9, $BM$9,$BN$9),
                       IF(OR($BL45=マスタ!$C$4, $BL45=マスタ!$C$5, $BL45=マスタ!$C$6, $BL45=マスタ!$C$7, $BL45=マスタ!$C$8),
                            IF($X45&lt;=$BX$9, $BM$9,$BN$9), ""))))</f>
        <v/>
      </c>
      <c r="AA45" s="71"/>
      <c r="AB45" s="71"/>
      <c r="AC45" s="71"/>
      <c r="AD45" s="165"/>
      <c r="AE45" s="71"/>
      <c r="AF45" s="165"/>
      <c r="AG45" s="92"/>
      <c r="AH45" s="92"/>
      <c r="AI45" s="92"/>
      <c r="AJ45" s="92"/>
      <c r="AK45" s="121"/>
      <c r="AL45" s="121"/>
      <c r="AM45" s="121"/>
      <c r="AN45" s="121"/>
      <c r="AO45" s="92"/>
      <c r="AP45" s="130" t="str">
        <f t="shared" si="5"/>
        <v/>
      </c>
      <c r="AQ45" s="121"/>
      <c r="AR45" s="101" t="str">
        <f>IF(OR(SUMPRODUCT(--(AJ45:AQ45&lt;&gt;""))&lt;7,AND($AJ45=マスタ!$N$3,$AK45="")), "",
        IF($AJ45=マスタ!$N$5, $BO$9,
              IF(OR($F45=マスタ!$C$3, $F45=マスタ!$C$4, $F45=マスタ!$C$5),
                    IF(SUM($AL45,$AM45,$AP45,$AQ45)&gt;=1, $BM$9, $BN$9),
              IF(OR($F45=マスタ!$C$6, $F45=マスタ!$C$7, $F45=マスタ!$C$8),
                    IF($AK45&lt;10, $BO$9,
                          IF(AND(SUM($AL45,$AM45,$AP45,$AQ45)&gt;=($AK45*0.2), $AM45+$AP45+$AQ45&gt;=1),
                               $BM$9,$BN$9))))))</f>
        <v/>
      </c>
      <c r="AS45" s="101" t="str">
        <f>IF(OR(SUMPRODUCT(--(AJ45:AQ45&lt;&gt;""))&lt;7,AND($AJ45=マスタ!$N$3,$AK45="")), "",
     IF($AR45=$BN$9,$BN$9,
        IF($AJ45=マスタ!$N$5, $BO$9,
             IF(OR($F45=マスタ!$C$3, $F45=マスタ!$C$4, $F45=マスタ!$C$5),
                   IF($AQ45&gt;=1, $BM$9, $BN$9),
             IF(OR($F45=マスタ!$C$6, $F45=マスタ!$C$7, $F45=マスタ!$C$8),
                   IF($AK45&lt;5, IF($AQ45&gt;=1, $BM$9, $BN$9),
                         IF(OR($AQ45&gt;=1,
                                    AND(SUM($AL45,$AM45,$AP45,$AQ45)&gt;=$AK45*0.5, ($AM45+$AP45+$AQ45)&gt;=($AK45*0.2))),
                              $BM$9,$BN$9)))))))</f>
        <v/>
      </c>
      <c r="AT45" s="66"/>
      <c r="AU45" s="143"/>
      <c r="AV45" s="98" t="str" cm="1">
        <f t="array" aca="1" ref="AV45" ca="1">IF(AND($F45:$G45&lt;&gt;"", $I45:$K45&lt;&gt;"",
                 IF(OR($M45=$BM$9,$O45=$BM$9), TRUE, $L45&lt;&gt;""),
                 $M45&lt;&gt;"",$O45&lt;&gt;"",
                 IF($T45=$BM$9, TRUE, $Q45:$R45&lt;&gt;""),
                 IF(AND($BL45&lt;&gt;"", $BL45&lt;&gt;マスタ!$C$5, $BL45&lt;&gt;マスタ!$C$8), TRUE, $T45&lt;&gt;""),
                 IF(OR(AND($T45=$BM$9,  $Y45=$BO$9), $Y45=$BM$9), TRUE,$W45&lt;&gt;""),
                 IF(AND($BL45&lt;&gt;"", $BL45&lt;&gt;マスタ!$C$5, $BL45&lt;&gt;マスタ!$C$8), TRUE, $Y45&lt;&gt;""),
                 $AA45&lt;&gt;"",
                 IF($AA45=マスタ!$F$4, TRUE, $AB45&lt;&gt;""),
                 $AG45:$AO45&lt;&gt;"", $AQ45&lt;&gt;"", $AT45&lt;&gt;""),
        "（正常）入力済み", IF($C45= "", "（複数入力）未入力", "（エラー）一部未入力"))</f>
        <v>（複数入力）未入力</v>
      </c>
      <c r="AW45" s="98" t="str">
        <f t="shared" ca="1" si="6"/>
        <v/>
      </c>
      <c r="AX45" s="98" t="str">
        <f t="shared" ca="1" si="22"/>
        <v/>
      </c>
      <c r="AY45" s="98" t="str">
        <f t="shared" ca="1" si="23"/>
        <v/>
      </c>
      <c r="AZ45" s="98" t="str">
        <f t="shared" ca="1" si="24"/>
        <v/>
      </c>
      <c r="BA45" s="98" t="str">
        <f t="shared" ca="1" si="25"/>
        <v/>
      </c>
      <c r="BB45" s="98" t="str">
        <f t="shared" ca="1" si="26"/>
        <v/>
      </c>
      <c r="BC45" s="98" t="str">
        <f t="shared" ca="1" si="27"/>
        <v/>
      </c>
      <c r="BD45" s="98" t="str">
        <f t="shared" ca="1" si="28"/>
        <v/>
      </c>
      <c r="BE45" s="98" t="str">
        <f>IF($BL45="","",
   IF($T45=入力不可用2,
      IF(OR($BL45=マスタ!$C$5,$BL45=マスタ!$C$8), "未入力", "（正常）規定値"),
      IF(OR($BL45=マスタ!$C$5,$BL45=マスタ!$C$8), "（正常）規定値", "（エラー）値入力不可")))</f>
        <v/>
      </c>
      <c r="BF45" s="98" t="str">
        <f ca="1">IF($C45 = "", "",
       IF(AND(OR($BL45=マスタ!$C$5, $BL45=マスタ!$C$8), $T45 = ""), "未入力",
            IF(AND($Y45 = $BM$9, $T45 = $BO$9), "（エラー）「適合」のみ入力可", "（正常）規定値")))</f>
        <v/>
      </c>
      <c r="BG45" s="98" t="str">
        <f t="shared" ca="1" si="29"/>
        <v/>
      </c>
      <c r="BH45" s="98" t="str">
        <f t="shared" ca="1" si="30"/>
        <v/>
      </c>
      <c r="BI45" s="98" t="str">
        <f>IF($BL45="","",
   IF($Y45=入力不可用2,
      IF(OR($BL45=マスタ!$C$5,$BL45=マスタ!$C$8), "未入力", "（正常）規定値"),
      IF(OR($BL45=マスタ!$C$5,$BL45=マスタ!$C$8), "（正常）規定値", "（エラー）値入力不可")))</f>
        <v/>
      </c>
      <c r="BJ45" s="98" t="str">
        <f>IF($AA45="", "",
        IF($AA45=マスタ!$F$3,
             IF($AB45="", "未入力", "（正常）規定値"),
                  IF($AA45=マスタ!$F$4,
                       IF($AB45&lt;&gt;入力不可用2, "（エラー）値入力不可", "（正常）規定値"))))</f>
        <v/>
      </c>
      <c r="BL45" s="75" t="str">
        <f>IF(OR($F45 = マスタ!$C$5, F45 = マスタ!$C$8), $F45,
        IF(AND($F45 = マスタ!$C$3, 'その１事業者基本情報_入力シート（一部非公開）'!$U$16), $F45,
             IF(AND($F45 = マスタ!$C$4, 'その１事業者基本情報_入力シート（一部非公開）'!$S$16), $F45,
                  IF(AND(OR($F45 = マスタ!$C$6, $F45 = マスタ!$C$7),
                                'その１事業者基本情報_入力シート（一部非公開）'!$W$16), $F45,
                       IF(OR($F45 = マスタ!$C$3, $F45=マスタ!$C$4), マスタ!$C$5,
                            IF(OR($F45 = マスタ!$C$6, $F45 = マスタ!$C$7), マスタ!$C$8, ""))))))</f>
        <v/>
      </c>
      <c r="BM45" s="75" t="str">
        <f>IF($L45&lt;&gt;"", $L45,
       IF($M45 = マスタ!$B$3,
          IF(OR($F45=マスタ!$C$3,$F45=マスタ!$C$4,$F45=マスタ!$C$5),
            IF(OR($G45 = マスタ!$D$54, $G45 = マスタ!$D$55), 0.75, 0.87),
            IF(OR($G45 = マスタ!$D$54, $G45 = マスタ!$D$55), 0.62, 0.72)),
                 IF(ISBLANK($L45), "", $L45)))</f>
        <v/>
      </c>
      <c r="BN45" s="99" t="str">
        <f>IF($L45&lt;&gt;"", $L45,
        IF($O45 = マスタ!$B$3,
          IF(OR($F45=マスタ!$C$3,$F45=マスタ!$C$4,$F45=マスタ!$C$5), 0.6, 0.5),
             IF(ISBLANK($L45), "", $L45)))</f>
        <v/>
      </c>
      <c r="BO45" s="99" t="str">
        <f>IF($T45&lt;&gt;マスタ!$B$3,
        IF(ISBLANK($S45),"",$S45),
             IF($BL45=マスタ!$C$3,0.8,
             IF($BL45=マスタ!$C$4,0.85,
             IF($BL45=マスタ!$C$6,0.9,
             IF($BL45=マスタ!$C$7,0.9,
             IF($BL45=マスタ!$C$5,1,
             IF($BL45=マスタ!$C$8,1,"無効な入力")))))))</f>
        <v/>
      </c>
      <c r="BP45" s="99" t="str">
        <f>IF($Y45&lt;&gt;マスタ!$B$3,
   IF(ISBLANK($X45), "", $X45),
   IF($BL45=マスタ!$C$3, 0.75,
      IF($BL45=マスタ!$C$4, 0.8,
         IF($BL45=マスタ!$C$6, 0.8,
            IF($BL45=マスタ!$C$7, 0.8,
               IF($BL45=マスタ!$C$5, 0.8,
                  IF($BL45=マスタ!$C$8, 0.8, "無効な入力")))))))</f>
        <v/>
      </c>
      <c r="BQ45" s="75"/>
      <c r="BR45" s="75"/>
      <c r="BS45" s="75"/>
      <c r="BT45" s="75"/>
      <c r="BU45" s="75"/>
      <c r="BV45" s="75"/>
      <c r="BW45" s="75"/>
      <c r="BX45" s="75"/>
      <c r="BY45" s="75"/>
    </row>
    <row r="46" spans="3:77" ht="30.75" customHeight="1">
      <c r="C46" s="69" t="str" cm="1">
        <f t="array" aca="1" ref="C46" ca="1">IF(SUMPRODUCT(--($D46:$AU46 &lt;&gt; "")),RIGHT(YEAR(TODAY()),2)&amp;"01"&amp;REPT("0",4-LEN(ROW()-11))&amp;ROW()-11,"")</f>
        <v/>
      </c>
      <c r="D46" s="141"/>
      <c r="E46" s="142"/>
      <c r="F46" s="71"/>
      <c r="G46" s="66"/>
      <c r="H46" s="41" t="str">
        <f>IFERROR(VLOOKUP(G46,マスタ!$D$3:$E$55,2,FALSE),"")</f>
        <v/>
      </c>
      <c r="I46" s="93"/>
      <c r="J46" s="77"/>
      <c r="K46" s="66"/>
      <c r="L46" s="103"/>
      <c r="M46" s="71"/>
      <c r="N46" s="101" t="str">
        <f>IF($M46 = $BM$9, $BM$9,
        IF($L46 = "", "",
              IF(OR(
                          AND(OR($G46 = マスタ!$D$54, $G46 = マスタ!$D$55), $L46 &lt;= $BP$9),
                          AND($G46 &lt;&gt; マスタ!$D$54, $G46 &lt;&gt; マスタ!$D$55, $L46 &lt;= $BQ$9)
                         ), $BM$9, $BN$9)))</f>
        <v/>
      </c>
      <c r="O46" s="71"/>
      <c r="P46" s="101" t="str">
        <f t="shared" si="21"/>
        <v/>
      </c>
      <c r="Q46" s="124"/>
      <c r="R46" s="124"/>
      <c r="S46" s="112" t="str">
        <f t="shared" si="19"/>
        <v/>
      </c>
      <c r="T46" s="71"/>
      <c r="U46" s="41" t="str">
        <f>IF($T46=$BM$9, $BM$9,
        IF($S46="", "",
             IF(OR(AND($BL46=マスタ!$C$3, $S46&lt;=$BS$9),
                        AND($BL46=マスタ!$C$4, $S46&lt;=$BT$9),
                        AND(OR($BL46=マスタ!$C$6, $BL46=マスタ!$C$7), $S46&lt;=$BU$9),
                        AND(OR($BL46=マスタ!$C$5, $BL46=マスタ!$C$8), $S46&lt;=$BV$9)),
                  $BM$9, $BN$9)))</f>
        <v/>
      </c>
      <c r="V46" s="129" t="str">
        <f t="shared" si="16"/>
        <v/>
      </c>
      <c r="W46" s="124"/>
      <c r="X46" s="112" t="str">
        <f t="shared" si="20"/>
        <v/>
      </c>
      <c r="Y46" s="71"/>
      <c r="Z46" s="41" t="str">
        <f>IF($Y46=$BM$9, $BM$9,
        IF(AND($T46 = $BM$9, $Y46 = $BO$9), $BN$9,
             IF($BL46=マスタ!$C$3,
                  IF($X46&lt;=$BW$9, $BM$9,$BN$9),
                       IF(OR($BL46=マスタ!$C$4, $BL46=マスタ!$C$5, $BL46=マスタ!$C$6, $BL46=マスタ!$C$7, $BL46=マスタ!$C$8),
                            IF($X46&lt;=$BX$9, $BM$9,$BN$9), ""))))</f>
        <v/>
      </c>
      <c r="AA46" s="71"/>
      <c r="AB46" s="71"/>
      <c r="AC46" s="71"/>
      <c r="AD46" s="165"/>
      <c r="AE46" s="71"/>
      <c r="AF46" s="165"/>
      <c r="AG46" s="92"/>
      <c r="AH46" s="92"/>
      <c r="AI46" s="92"/>
      <c r="AJ46" s="92"/>
      <c r="AK46" s="121"/>
      <c r="AL46" s="121"/>
      <c r="AM46" s="121"/>
      <c r="AN46" s="121"/>
      <c r="AO46" s="92"/>
      <c r="AP46" s="130" t="str">
        <f t="shared" si="5"/>
        <v/>
      </c>
      <c r="AQ46" s="121"/>
      <c r="AR46" s="101" t="str">
        <f>IF(OR(SUMPRODUCT(--(AJ46:AQ46&lt;&gt;""))&lt;7,AND($AJ46=マスタ!$N$3,$AK46="")), "",
        IF($AJ46=マスタ!$N$5, $BO$9,
              IF(OR($F46=マスタ!$C$3, $F46=マスタ!$C$4, $F46=マスタ!$C$5),
                    IF(SUM($AL46,$AM46,$AP46,$AQ46)&gt;=1, $BM$9, $BN$9),
              IF(OR($F46=マスタ!$C$6, $F46=マスタ!$C$7, $F46=マスタ!$C$8),
                    IF($AK46&lt;10, $BO$9,
                          IF(AND(SUM($AL46,$AM46,$AP46,$AQ46)&gt;=($AK46*0.2), $AM46+$AP46+$AQ46&gt;=1),
                               $BM$9,$BN$9))))))</f>
        <v/>
      </c>
      <c r="AS46" s="101" t="str">
        <f>IF(OR(SUMPRODUCT(--(AJ46:AQ46&lt;&gt;""))&lt;7,AND($AJ46=マスタ!$N$3,$AK46="")), "",
     IF($AR46=$BN$9,$BN$9,
        IF($AJ46=マスタ!$N$5, $BO$9,
             IF(OR($F46=マスタ!$C$3, $F46=マスタ!$C$4, $F46=マスタ!$C$5),
                   IF($AQ46&gt;=1, $BM$9, $BN$9),
             IF(OR($F46=マスタ!$C$6, $F46=マスタ!$C$7, $F46=マスタ!$C$8),
                   IF($AK46&lt;5, IF($AQ46&gt;=1, $BM$9, $BN$9),
                         IF(OR($AQ46&gt;=1,
                                    AND(SUM($AL46,$AM46,$AP46,$AQ46)&gt;=$AK46*0.5, ($AM46+$AP46+$AQ46)&gt;=($AK46*0.2))),
                              $BM$9,$BN$9)))))))</f>
        <v/>
      </c>
      <c r="AT46" s="66"/>
      <c r="AU46" s="143"/>
      <c r="AV46" s="98" t="str" cm="1">
        <f t="array" aca="1" ref="AV46" ca="1">IF(AND($F46:$G46&lt;&gt;"", $I46:$K46&lt;&gt;"",
                 IF(OR($M46=$BM$9,$O46=$BM$9), TRUE, $L46&lt;&gt;""),
                 $M46&lt;&gt;"",$O46&lt;&gt;"",
                 IF($T46=$BM$9, TRUE, $Q46:$R46&lt;&gt;""),
                 IF(AND($BL46&lt;&gt;"", $BL46&lt;&gt;マスタ!$C$5, $BL46&lt;&gt;マスタ!$C$8), TRUE, $T46&lt;&gt;""),
                 IF(OR(AND($T46=$BM$9,  $Y46=$BO$9), $Y46=$BM$9), TRUE,$W46&lt;&gt;""),
                 IF(AND($BL46&lt;&gt;"", $BL46&lt;&gt;マスタ!$C$5, $BL46&lt;&gt;マスタ!$C$8), TRUE, $Y46&lt;&gt;""),
                 $AA46&lt;&gt;"",
                 IF($AA46=マスタ!$F$4, TRUE, $AB46&lt;&gt;""),
                 $AG46:$AO46&lt;&gt;"", $AQ46&lt;&gt;"", $AT46&lt;&gt;""),
        "（正常）入力済み", IF($C46= "", "（複数入力）未入力", "（エラー）一部未入力"))</f>
        <v>（複数入力）未入力</v>
      </c>
      <c r="AW46" s="98" t="str">
        <f t="shared" ca="1" si="6"/>
        <v/>
      </c>
      <c r="AX46" s="98" t="str">
        <f t="shared" ca="1" si="22"/>
        <v/>
      </c>
      <c r="AY46" s="98" t="str">
        <f t="shared" ca="1" si="23"/>
        <v/>
      </c>
      <c r="AZ46" s="98" t="str">
        <f t="shared" ca="1" si="24"/>
        <v/>
      </c>
      <c r="BA46" s="98" t="str">
        <f t="shared" ca="1" si="25"/>
        <v/>
      </c>
      <c r="BB46" s="98" t="str">
        <f t="shared" ca="1" si="26"/>
        <v/>
      </c>
      <c r="BC46" s="98" t="str">
        <f t="shared" ca="1" si="27"/>
        <v/>
      </c>
      <c r="BD46" s="98" t="str">
        <f t="shared" ca="1" si="28"/>
        <v/>
      </c>
      <c r="BE46" s="98" t="str">
        <f>IF($BL46="","",
   IF($T46=入力不可用2,
      IF(OR($BL46=マスタ!$C$5,$BL46=マスタ!$C$8), "未入力", "（正常）規定値"),
      IF(OR($BL46=マスタ!$C$5,$BL46=マスタ!$C$8), "（正常）規定値", "（エラー）値入力不可")))</f>
        <v/>
      </c>
      <c r="BF46" s="98" t="str">
        <f ca="1">IF($C46 = "", "",
       IF(AND(OR($BL46=マスタ!$C$5, $BL46=マスタ!$C$8), $T46 = ""), "未入力",
            IF(AND($Y46 = $BM$9, $T46 = $BO$9), "（エラー）「適合」のみ入力可", "（正常）規定値")))</f>
        <v/>
      </c>
      <c r="BG46" s="98" t="str">
        <f t="shared" ca="1" si="29"/>
        <v/>
      </c>
      <c r="BH46" s="98" t="str">
        <f t="shared" ca="1" si="30"/>
        <v/>
      </c>
      <c r="BI46" s="98" t="str">
        <f>IF($BL46="","",
   IF($Y46=入力不可用2,
      IF(OR($BL46=マスタ!$C$5,$BL46=マスタ!$C$8), "未入力", "（正常）規定値"),
      IF(OR($BL46=マスタ!$C$5,$BL46=マスタ!$C$8), "（正常）規定値", "（エラー）値入力不可")))</f>
        <v/>
      </c>
      <c r="BJ46" s="98" t="str">
        <f>IF($AA46="", "",
        IF($AA46=マスタ!$F$3,
             IF($AB46="", "未入力", "（正常）規定値"),
                  IF($AA46=マスタ!$F$4,
                       IF($AB46&lt;&gt;入力不可用2, "（エラー）値入力不可", "（正常）規定値"))))</f>
        <v/>
      </c>
      <c r="BL46" s="75" t="str">
        <f>IF(OR($F46 = マスタ!$C$5, F46 = マスタ!$C$8), $F46,
        IF(AND($F46 = マスタ!$C$3, 'その１事業者基本情報_入力シート（一部非公開）'!$U$16), $F46,
             IF(AND($F46 = マスタ!$C$4, 'その１事業者基本情報_入力シート（一部非公開）'!$S$16), $F46,
                  IF(AND(OR($F46 = マスタ!$C$6, $F46 = マスタ!$C$7),
                                'その１事業者基本情報_入力シート（一部非公開）'!$W$16), $F46,
                       IF(OR($F46 = マスタ!$C$3, $F46=マスタ!$C$4), マスタ!$C$5,
                            IF(OR($F46 = マスタ!$C$6, $F46 = マスタ!$C$7), マスタ!$C$8, ""))))))</f>
        <v/>
      </c>
      <c r="BM46" s="75" t="str">
        <f>IF($L46&lt;&gt;"", $L46,
       IF($M46 = マスタ!$B$3,
          IF(OR($F46=マスタ!$C$3,$F46=マスタ!$C$4,$F46=マスタ!$C$5),
            IF(OR($G46 = マスタ!$D$54, $G46 = マスタ!$D$55), 0.75, 0.87),
            IF(OR($G46 = マスタ!$D$54, $G46 = マスタ!$D$55), 0.62, 0.72)),
                 IF(ISBLANK($L46), "", $L46)))</f>
        <v/>
      </c>
      <c r="BN46" s="99" t="str">
        <f>IF($L46&lt;&gt;"", $L46,
        IF($O46 = マスタ!$B$3,
          IF(OR($F46=マスタ!$C$3,$F46=マスタ!$C$4,$F46=マスタ!$C$5), 0.6, 0.5),
             IF(ISBLANK($L46), "", $L46)))</f>
        <v/>
      </c>
      <c r="BO46" s="99" t="str">
        <f>IF($T46&lt;&gt;マスタ!$B$3,
        IF(ISBLANK($S46),"",$S46),
             IF($BL46=マスタ!$C$3,0.8,
             IF($BL46=マスタ!$C$4,0.85,
             IF($BL46=マスタ!$C$6,0.9,
             IF($BL46=マスタ!$C$7,0.9,
             IF($BL46=マスタ!$C$5,1,
             IF($BL46=マスタ!$C$8,1,"無効な入力")))))))</f>
        <v/>
      </c>
      <c r="BP46" s="99" t="str">
        <f>IF($Y46&lt;&gt;マスタ!$B$3,
   IF(ISBLANK($X46), "", $X46),
   IF($BL46=マスタ!$C$3, 0.75,
      IF($BL46=マスタ!$C$4, 0.8,
         IF($BL46=マスタ!$C$6, 0.8,
            IF($BL46=マスタ!$C$7, 0.8,
               IF($BL46=マスタ!$C$5, 0.8,
                  IF($BL46=マスタ!$C$8, 0.8, "無効な入力")))))))</f>
        <v/>
      </c>
      <c r="BQ46" s="75"/>
      <c r="BR46" s="75"/>
      <c r="BS46" s="75"/>
      <c r="BT46" s="75"/>
      <c r="BU46" s="75"/>
      <c r="BV46" s="75"/>
      <c r="BW46" s="75"/>
      <c r="BX46" s="75"/>
      <c r="BY46" s="75"/>
    </row>
    <row r="47" spans="3:77" ht="30.75" customHeight="1">
      <c r="C47" s="69" t="str" cm="1">
        <f t="array" aca="1" ref="C47" ca="1">IF(SUMPRODUCT(--($D47:$AU47 &lt;&gt; "")),RIGHT(YEAR(TODAY()),2)&amp;"01"&amp;REPT("0",4-LEN(ROW()-11))&amp;ROW()-11,"")</f>
        <v/>
      </c>
      <c r="D47" s="141"/>
      <c r="E47" s="142"/>
      <c r="F47" s="71"/>
      <c r="G47" s="66"/>
      <c r="H47" s="41" t="str">
        <f>IFERROR(VLOOKUP(G47,マスタ!$D$3:$E$55,2,FALSE),"")</f>
        <v/>
      </c>
      <c r="I47" s="93"/>
      <c r="J47" s="77"/>
      <c r="K47" s="66"/>
      <c r="L47" s="103"/>
      <c r="M47" s="71"/>
      <c r="N47" s="101" t="str">
        <f>IF($M47 = $BM$9, $BM$9,
        IF($L47 = "", "",
              IF(OR(
                          AND(OR($G47 = マスタ!$D$54, $G47 = マスタ!$D$55), $L47 &lt;= $BP$9),
                          AND($G47 &lt;&gt; マスタ!$D$54, $G47 &lt;&gt; マスタ!$D$55, $L47 &lt;= $BQ$9)
                         ), $BM$9, $BN$9)))</f>
        <v/>
      </c>
      <c r="O47" s="71"/>
      <c r="P47" s="101" t="str">
        <f t="shared" si="21"/>
        <v/>
      </c>
      <c r="Q47" s="124"/>
      <c r="R47" s="124"/>
      <c r="S47" s="112" t="str">
        <f t="shared" si="19"/>
        <v/>
      </c>
      <c r="T47" s="71"/>
      <c r="U47" s="41" t="str">
        <f>IF($T47=$BM$9, $BM$9,
        IF($S47="", "",
             IF(OR(AND($BL47=マスタ!$C$3, $S47&lt;=$BS$9),
                        AND($BL47=マスタ!$C$4, $S47&lt;=$BT$9),
                        AND(OR($BL47=マスタ!$C$6, $BL47=マスタ!$C$7), $S47&lt;=$BU$9),
                        AND(OR($BL47=マスタ!$C$5, $BL47=マスタ!$C$8), $S47&lt;=$BV$9)),
                  $BM$9, $BN$9)))</f>
        <v/>
      </c>
      <c r="V47" s="129" t="str">
        <f t="shared" si="16"/>
        <v/>
      </c>
      <c r="W47" s="124"/>
      <c r="X47" s="112" t="str">
        <f t="shared" si="20"/>
        <v/>
      </c>
      <c r="Y47" s="71"/>
      <c r="Z47" s="41" t="str">
        <f>IF($Y47=$BM$9, $BM$9,
        IF(AND($T47 = $BM$9, $Y47 = $BO$9), $BN$9,
             IF($BL47=マスタ!$C$3,
                  IF($X47&lt;=$BW$9, $BM$9,$BN$9),
                       IF(OR($BL47=マスタ!$C$4, $BL47=マスタ!$C$5, $BL47=マスタ!$C$6, $BL47=マスタ!$C$7, $BL47=マスタ!$C$8),
                            IF($X47&lt;=$BX$9, $BM$9,$BN$9), ""))))</f>
        <v/>
      </c>
      <c r="AA47" s="71"/>
      <c r="AB47" s="71"/>
      <c r="AC47" s="71"/>
      <c r="AD47" s="165"/>
      <c r="AE47" s="71"/>
      <c r="AF47" s="165"/>
      <c r="AG47" s="92"/>
      <c r="AH47" s="92"/>
      <c r="AI47" s="92"/>
      <c r="AJ47" s="92"/>
      <c r="AK47" s="121"/>
      <c r="AL47" s="121"/>
      <c r="AM47" s="121"/>
      <c r="AN47" s="121"/>
      <c r="AO47" s="92"/>
      <c r="AP47" s="130" t="str">
        <f t="shared" si="5"/>
        <v/>
      </c>
      <c r="AQ47" s="121"/>
      <c r="AR47" s="101" t="str">
        <f>IF(OR(SUMPRODUCT(--(AJ47:AQ47&lt;&gt;""))&lt;7,AND($AJ47=マスタ!$N$3,$AK47="")), "",
        IF($AJ47=マスタ!$N$5, $BO$9,
              IF(OR($F47=マスタ!$C$3, $F47=マスタ!$C$4, $F47=マスタ!$C$5),
                    IF(SUM($AL47,$AM47,$AP47,$AQ47)&gt;=1, $BM$9, $BN$9),
              IF(OR($F47=マスタ!$C$6, $F47=マスタ!$C$7, $F47=マスタ!$C$8),
                    IF($AK47&lt;10, $BO$9,
                          IF(AND(SUM($AL47,$AM47,$AP47,$AQ47)&gt;=($AK47*0.2), $AM47+$AP47+$AQ47&gt;=1),
                               $BM$9,$BN$9))))))</f>
        <v/>
      </c>
      <c r="AS47" s="101" t="str">
        <f>IF(OR(SUMPRODUCT(--(AJ47:AQ47&lt;&gt;""))&lt;7,AND($AJ47=マスタ!$N$3,$AK47="")), "",
     IF($AR47=$BN$9,$BN$9,
        IF($AJ47=マスタ!$N$5, $BO$9,
             IF(OR($F47=マスタ!$C$3, $F47=マスタ!$C$4, $F47=マスタ!$C$5),
                   IF($AQ47&gt;=1, $BM$9, $BN$9),
             IF(OR($F47=マスタ!$C$6, $F47=マスタ!$C$7, $F47=マスタ!$C$8),
                   IF($AK47&lt;5, IF($AQ47&gt;=1, $BM$9, $BN$9),
                         IF(OR($AQ47&gt;=1,
                                    AND(SUM($AL47,$AM47,$AP47,$AQ47)&gt;=$AK47*0.5, ($AM47+$AP47+$AQ47)&gt;=($AK47*0.2))),
                              $BM$9,$BN$9)))))))</f>
        <v/>
      </c>
      <c r="AT47" s="66"/>
      <c r="AU47" s="143"/>
      <c r="AV47" s="98" t="str" cm="1">
        <f t="array" aca="1" ref="AV47" ca="1">IF(AND($F47:$G47&lt;&gt;"", $I47:$K47&lt;&gt;"",
                 IF(OR($M47=$BM$9,$O47=$BM$9), TRUE, $L47&lt;&gt;""),
                 $M47&lt;&gt;"",$O47&lt;&gt;"",
                 IF($T47=$BM$9, TRUE, $Q47:$R47&lt;&gt;""),
                 IF(AND($BL47&lt;&gt;"", $BL47&lt;&gt;マスタ!$C$5, $BL47&lt;&gt;マスタ!$C$8), TRUE, $T47&lt;&gt;""),
                 IF(OR(AND($T47=$BM$9,  $Y47=$BO$9), $Y47=$BM$9), TRUE,$W47&lt;&gt;""),
                 IF(AND($BL47&lt;&gt;"", $BL47&lt;&gt;マスタ!$C$5, $BL47&lt;&gt;マスタ!$C$8), TRUE, $Y47&lt;&gt;""),
                 $AA47&lt;&gt;"",
                 IF($AA47=マスタ!$F$4, TRUE, $AB47&lt;&gt;""),
                 $AG47:$AO47&lt;&gt;"", $AQ47&lt;&gt;"", $AT47&lt;&gt;""),
        "（正常）入力済み", IF($C47= "", "（複数入力）未入力", "（エラー）一部未入力"))</f>
        <v>（複数入力）未入力</v>
      </c>
      <c r="AW47" s="98" t="str">
        <f t="shared" ca="1" si="6"/>
        <v/>
      </c>
      <c r="AX47" s="98" t="str">
        <f t="shared" ca="1" si="22"/>
        <v/>
      </c>
      <c r="AY47" s="98" t="str">
        <f t="shared" ca="1" si="23"/>
        <v/>
      </c>
      <c r="AZ47" s="98" t="str">
        <f t="shared" ca="1" si="24"/>
        <v/>
      </c>
      <c r="BA47" s="98" t="str">
        <f t="shared" ca="1" si="25"/>
        <v/>
      </c>
      <c r="BB47" s="98" t="str">
        <f t="shared" ca="1" si="26"/>
        <v/>
      </c>
      <c r="BC47" s="98" t="str">
        <f t="shared" ca="1" si="27"/>
        <v/>
      </c>
      <c r="BD47" s="98" t="str">
        <f t="shared" ca="1" si="28"/>
        <v/>
      </c>
      <c r="BE47" s="98" t="str">
        <f>IF($BL47="","",
   IF($T47=入力不可用2,
      IF(OR($BL47=マスタ!$C$5,$BL47=マスタ!$C$8), "未入力", "（正常）規定値"),
      IF(OR($BL47=マスタ!$C$5,$BL47=マスタ!$C$8), "（正常）規定値", "（エラー）値入力不可")))</f>
        <v/>
      </c>
      <c r="BF47" s="98" t="str">
        <f ca="1">IF($C47 = "", "",
       IF(AND(OR($BL47=マスタ!$C$5, $BL47=マスタ!$C$8), $T47 = ""), "未入力",
            IF(AND($Y47 = $BM$9, $T47 = $BO$9), "（エラー）「適合」のみ入力可", "（正常）規定値")))</f>
        <v/>
      </c>
      <c r="BG47" s="98" t="str">
        <f t="shared" ca="1" si="29"/>
        <v/>
      </c>
      <c r="BH47" s="98" t="str">
        <f t="shared" ca="1" si="30"/>
        <v/>
      </c>
      <c r="BI47" s="98" t="str">
        <f>IF($BL47="","",
   IF($Y47=入力不可用2,
      IF(OR($BL47=マスタ!$C$5,$BL47=マスタ!$C$8), "未入力", "（正常）規定値"),
      IF(OR($BL47=マスタ!$C$5,$BL47=マスタ!$C$8), "（正常）規定値", "（エラー）値入力不可")))</f>
        <v/>
      </c>
      <c r="BJ47" s="98" t="str">
        <f>IF($AA47="", "",
        IF($AA47=マスタ!$F$3,
             IF($AB47="", "未入力", "（正常）規定値"),
                  IF($AA47=マスタ!$F$4,
                       IF($AB47&lt;&gt;入力不可用2, "（エラー）値入力不可", "（正常）規定値"))))</f>
        <v/>
      </c>
      <c r="BL47" s="75" t="str">
        <f>IF(OR($F47 = マスタ!$C$5, F47 = マスタ!$C$8), $F47,
        IF(AND($F47 = マスタ!$C$3, 'その１事業者基本情報_入力シート（一部非公開）'!$U$16), $F47,
             IF(AND($F47 = マスタ!$C$4, 'その１事業者基本情報_入力シート（一部非公開）'!$S$16), $F47,
                  IF(AND(OR($F47 = マスタ!$C$6, $F47 = マスタ!$C$7),
                                'その１事業者基本情報_入力シート（一部非公開）'!$W$16), $F47,
                       IF(OR($F47 = マスタ!$C$3, $F47=マスタ!$C$4), マスタ!$C$5,
                            IF(OR($F47 = マスタ!$C$6, $F47 = マスタ!$C$7), マスタ!$C$8, ""))))))</f>
        <v/>
      </c>
      <c r="BM47" s="75" t="str">
        <f>IF($L47&lt;&gt;"", $L47,
       IF($M47 = マスタ!$B$3,
          IF(OR($F47=マスタ!$C$3,$F47=マスタ!$C$4,$F47=マスタ!$C$5),
            IF(OR($G47 = マスタ!$D$54, $G47 = マスタ!$D$55), 0.75, 0.87),
            IF(OR($G47 = マスタ!$D$54, $G47 = マスタ!$D$55), 0.62, 0.72)),
                 IF(ISBLANK($L47), "", $L47)))</f>
        <v/>
      </c>
      <c r="BN47" s="99" t="str">
        <f>IF($L47&lt;&gt;"", $L47,
        IF($O47 = マスタ!$B$3,
          IF(OR($F47=マスタ!$C$3,$F47=マスタ!$C$4,$F47=マスタ!$C$5), 0.6, 0.5),
             IF(ISBLANK($L47), "", $L47)))</f>
        <v/>
      </c>
      <c r="BO47" s="99" t="str">
        <f>IF($T47&lt;&gt;マスタ!$B$3,
        IF(ISBLANK($S47),"",$S47),
             IF($BL47=マスタ!$C$3,0.8,
             IF($BL47=マスタ!$C$4,0.85,
             IF($BL47=マスタ!$C$6,0.9,
             IF($BL47=マスタ!$C$7,0.9,
             IF($BL47=マスタ!$C$5,1,
             IF($BL47=マスタ!$C$8,1,"無効な入力")))))))</f>
        <v/>
      </c>
      <c r="BP47" s="99" t="str">
        <f>IF($Y47&lt;&gt;マスタ!$B$3,
   IF(ISBLANK($X47), "", $X47),
   IF($BL47=マスタ!$C$3, 0.75,
      IF($BL47=マスタ!$C$4, 0.8,
         IF($BL47=マスタ!$C$6, 0.8,
            IF($BL47=マスタ!$C$7, 0.8,
               IF($BL47=マスタ!$C$5, 0.8,
                  IF($BL47=マスタ!$C$8, 0.8, "無効な入力")))))))</f>
        <v/>
      </c>
      <c r="BQ47" s="75"/>
      <c r="BR47" s="75"/>
      <c r="BS47" s="75"/>
      <c r="BT47" s="75"/>
      <c r="BU47" s="75"/>
      <c r="BV47" s="75"/>
      <c r="BW47" s="75"/>
      <c r="BX47" s="75"/>
      <c r="BY47" s="75"/>
    </row>
    <row r="48" spans="3:77" ht="30.75" customHeight="1">
      <c r="C48" s="69" t="str" cm="1">
        <f t="array" aca="1" ref="C48" ca="1">IF(SUMPRODUCT(--($D48:$AU48 &lt;&gt; "")),RIGHT(YEAR(TODAY()),2)&amp;"01"&amp;REPT("0",4-LEN(ROW()-11))&amp;ROW()-11,"")</f>
        <v/>
      </c>
      <c r="D48" s="141"/>
      <c r="E48" s="142"/>
      <c r="F48" s="71"/>
      <c r="G48" s="66"/>
      <c r="H48" s="41" t="str">
        <f>IFERROR(VLOOKUP(G48,マスタ!$D$3:$E$55,2,FALSE),"")</f>
        <v/>
      </c>
      <c r="I48" s="93"/>
      <c r="J48" s="77"/>
      <c r="K48" s="66"/>
      <c r="L48" s="103"/>
      <c r="M48" s="71"/>
      <c r="N48" s="101" t="str">
        <f>IF($M48 = $BM$9, $BM$9,
        IF($L48 = "", "",
              IF(OR(
                          AND(OR($G48 = マスタ!$D$54, $G48 = マスタ!$D$55), $L48 &lt;= $BP$9),
                          AND($G48 &lt;&gt; マスタ!$D$54, $G48 &lt;&gt; マスタ!$D$55, $L48 &lt;= $BQ$9)
                         ), $BM$9, $BN$9)))</f>
        <v/>
      </c>
      <c r="O48" s="71"/>
      <c r="P48" s="101" t="str">
        <f t="shared" si="21"/>
        <v/>
      </c>
      <c r="Q48" s="124"/>
      <c r="R48" s="124"/>
      <c r="S48" s="112" t="str">
        <f t="shared" si="19"/>
        <v/>
      </c>
      <c r="T48" s="71"/>
      <c r="U48" s="41" t="str">
        <f>IF($T48=$BM$9, $BM$9,
        IF($S48="", "",
             IF(OR(AND($BL48=マスタ!$C$3, $S48&lt;=$BS$9),
                        AND($BL48=マスタ!$C$4, $S48&lt;=$BT$9),
                        AND(OR($BL48=マスタ!$C$6, $BL48=マスタ!$C$7), $S48&lt;=$BU$9),
                        AND(OR($BL48=マスタ!$C$5, $BL48=マスタ!$C$8), $S48&lt;=$BV$9)),
                  $BM$9, $BN$9)))</f>
        <v/>
      </c>
      <c r="V48" s="129" t="str">
        <f t="shared" si="16"/>
        <v/>
      </c>
      <c r="W48" s="124"/>
      <c r="X48" s="112" t="str">
        <f t="shared" si="20"/>
        <v/>
      </c>
      <c r="Y48" s="71"/>
      <c r="Z48" s="41" t="str">
        <f>IF($Y48=$BM$9, $BM$9,
        IF(AND($T48 = $BM$9, $Y48 = $BO$9), $BN$9,
             IF($BL48=マスタ!$C$3,
                  IF($X48&lt;=$BW$9, $BM$9,$BN$9),
                       IF(OR($BL48=マスタ!$C$4, $BL48=マスタ!$C$5, $BL48=マスタ!$C$6, $BL48=マスタ!$C$7, $BL48=マスタ!$C$8),
                            IF($X48&lt;=$BX$9, $BM$9,$BN$9), ""))))</f>
        <v/>
      </c>
      <c r="AA48" s="71"/>
      <c r="AB48" s="71"/>
      <c r="AC48" s="71"/>
      <c r="AD48" s="165"/>
      <c r="AE48" s="71"/>
      <c r="AF48" s="165"/>
      <c r="AG48" s="92"/>
      <c r="AH48" s="92"/>
      <c r="AI48" s="92"/>
      <c r="AJ48" s="92"/>
      <c r="AK48" s="121"/>
      <c r="AL48" s="121"/>
      <c r="AM48" s="121"/>
      <c r="AN48" s="121"/>
      <c r="AO48" s="92"/>
      <c r="AP48" s="130" t="str">
        <f t="shared" si="5"/>
        <v/>
      </c>
      <c r="AQ48" s="121"/>
      <c r="AR48" s="101" t="str">
        <f>IF(OR(SUMPRODUCT(--(AJ48:AQ48&lt;&gt;""))&lt;7,AND($AJ48=マスタ!$N$3,$AK48="")), "",
        IF($AJ48=マスタ!$N$5, $BO$9,
              IF(OR($F48=マスタ!$C$3, $F48=マスタ!$C$4, $F48=マスタ!$C$5),
                    IF(SUM($AL48,$AM48,$AP48,$AQ48)&gt;=1, $BM$9, $BN$9),
              IF(OR($F48=マスタ!$C$6, $F48=マスタ!$C$7, $F48=マスタ!$C$8),
                    IF($AK48&lt;10, $BO$9,
                          IF(AND(SUM($AL48,$AM48,$AP48,$AQ48)&gt;=($AK48*0.2), $AM48+$AP48+$AQ48&gt;=1),
                               $BM$9,$BN$9))))))</f>
        <v/>
      </c>
      <c r="AS48" s="101" t="str">
        <f>IF(OR(SUMPRODUCT(--(AJ48:AQ48&lt;&gt;""))&lt;7,AND($AJ48=マスタ!$N$3,$AK48="")), "",
     IF($AR48=$BN$9,$BN$9,
        IF($AJ48=マスタ!$N$5, $BO$9,
             IF(OR($F48=マスタ!$C$3, $F48=マスタ!$C$4, $F48=マスタ!$C$5),
                   IF($AQ48&gt;=1, $BM$9, $BN$9),
             IF(OR($F48=マスタ!$C$6, $F48=マスタ!$C$7, $F48=マスタ!$C$8),
                   IF($AK48&lt;5, IF($AQ48&gt;=1, $BM$9, $BN$9),
                         IF(OR($AQ48&gt;=1,
                                    AND(SUM($AL48,$AM48,$AP48,$AQ48)&gt;=$AK48*0.5, ($AM48+$AP48+$AQ48)&gt;=($AK48*0.2))),
                              $BM$9,$BN$9)))))))</f>
        <v/>
      </c>
      <c r="AT48" s="66"/>
      <c r="AU48" s="143"/>
      <c r="AV48" s="98" t="str" cm="1">
        <f t="array" aca="1" ref="AV48" ca="1">IF(AND($F48:$G48&lt;&gt;"", $I48:$K48&lt;&gt;"",
                 IF(OR($M48=$BM$9,$O48=$BM$9), TRUE, $L48&lt;&gt;""),
                 $M48&lt;&gt;"",$O48&lt;&gt;"",
                 IF($T48=$BM$9, TRUE, $Q48:$R48&lt;&gt;""),
                 IF(AND($BL48&lt;&gt;"", $BL48&lt;&gt;マスタ!$C$5, $BL48&lt;&gt;マスタ!$C$8), TRUE, $T48&lt;&gt;""),
                 IF(OR(AND($T48=$BM$9,  $Y48=$BO$9), $Y48=$BM$9), TRUE,$W48&lt;&gt;""),
                 IF(AND($BL48&lt;&gt;"", $BL48&lt;&gt;マスタ!$C$5, $BL48&lt;&gt;マスタ!$C$8), TRUE, $Y48&lt;&gt;""),
                 $AA48&lt;&gt;"",
                 IF($AA48=マスタ!$F$4, TRUE, $AB48&lt;&gt;""),
                 $AG48:$AO48&lt;&gt;"", $AQ48&lt;&gt;"", $AT48&lt;&gt;""),
        "（正常）入力済み", IF($C48= "", "（複数入力）未入力", "（エラー）一部未入力"))</f>
        <v>（複数入力）未入力</v>
      </c>
      <c r="AW48" s="98" t="str">
        <f t="shared" ca="1" si="6"/>
        <v/>
      </c>
      <c r="AX48" s="98" t="str">
        <f t="shared" ca="1" si="22"/>
        <v/>
      </c>
      <c r="AY48" s="98" t="str">
        <f t="shared" ca="1" si="23"/>
        <v/>
      </c>
      <c r="AZ48" s="98" t="str">
        <f t="shared" ca="1" si="24"/>
        <v/>
      </c>
      <c r="BA48" s="98" t="str">
        <f t="shared" ca="1" si="25"/>
        <v/>
      </c>
      <c r="BB48" s="98" t="str">
        <f t="shared" ca="1" si="26"/>
        <v/>
      </c>
      <c r="BC48" s="98" t="str">
        <f t="shared" ca="1" si="27"/>
        <v/>
      </c>
      <c r="BD48" s="98" t="str">
        <f t="shared" ca="1" si="28"/>
        <v/>
      </c>
      <c r="BE48" s="98" t="str">
        <f>IF($BL48="","",
   IF($T48=入力不可用2,
      IF(OR($BL48=マスタ!$C$5,$BL48=マスタ!$C$8), "未入力", "（正常）規定値"),
      IF(OR($BL48=マスタ!$C$5,$BL48=マスタ!$C$8), "（正常）規定値", "（エラー）値入力不可")))</f>
        <v/>
      </c>
      <c r="BF48" s="98" t="str">
        <f ca="1">IF($C48 = "", "",
       IF(AND(OR($BL48=マスタ!$C$5, $BL48=マスタ!$C$8), $T48 = ""), "未入力",
            IF(AND($Y48 = $BM$9, $T48 = $BO$9), "（エラー）「適合」のみ入力可", "（正常）規定値")))</f>
        <v/>
      </c>
      <c r="BG48" s="98" t="str">
        <f t="shared" ca="1" si="29"/>
        <v/>
      </c>
      <c r="BH48" s="98" t="str">
        <f t="shared" ca="1" si="30"/>
        <v/>
      </c>
      <c r="BI48" s="98" t="str">
        <f>IF($BL48="","",
   IF($Y48=入力不可用2,
      IF(OR($BL48=マスタ!$C$5,$BL48=マスタ!$C$8), "未入力", "（正常）規定値"),
      IF(OR($BL48=マスタ!$C$5,$BL48=マスタ!$C$8), "（正常）規定値", "（エラー）値入力不可")))</f>
        <v/>
      </c>
      <c r="BJ48" s="98" t="str">
        <f>IF($AA48="", "",
        IF($AA48=マスタ!$F$3,
             IF($AB48="", "未入力", "（正常）規定値"),
                  IF($AA48=マスタ!$F$4,
                       IF($AB48&lt;&gt;入力不可用2, "（エラー）値入力不可", "（正常）規定値"))))</f>
        <v/>
      </c>
      <c r="BL48" s="75" t="str">
        <f>IF(OR($F48 = マスタ!$C$5, F48 = マスタ!$C$8), $F48,
        IF(AND($F48 = マスタ!$C$3, 'その１事業者基本情報_入力シート（一部非公開）'!$U$16), $F48,
             IF(AND($F48 = マスタ!$C$4, 'その１事業者基本情報_入力シート（一部非公開）'!$S$16), $F48,
                  IF(AND(OR($F48 = マスタ!$C$6, $F48 = マスタ!$C$7),
                                'その１事業者基本情報_入力シート（一部非公開）'!$W$16), $F48,
                       IF(OR($F48 = マスタ!$C$3, $F48=マスタ!$C$4), マスタ!$C$5,
                            IF(OR($F48 = マスタ!$C$6, $F48 = マスタ!$C$7), マスタ!$C$8, ""))))))</f>
        <v/>
      </c>
      <c r="BM48" s="75" t="str">
        <f>IF($L48&lt;&gt;"", $L48,
       IF($M48 = マスタ!$B$3,
          IF(OR($F48=マスタ!$C$3,$F48=マスタ!$C$4,$F48=マスタ!$C$5),
            IF(OR($G48 = マスタ!$D$54, $G48 = マスタ!$D$55), 0.75, 0.87),
            IF(OR($G48 = マスタ!$D$54, $G48 = マスタ!$D$55), 0.62, 0.72)),
                 IF(ISBLANK($L48), "", $L48)))</f>
        <v/>
      </c>
      <c r="BN48" s="99" t="str">
        <f>IF($L48&lt;&gt;"", $L48,
        IF($O48 = マスタ!$B$3,
          IF(OR($F48=マスタ!$C$3,$F48=マスタ!$C$4,$F48=マスタ!$C$5), 0.6, 0.5),
             IF(ISBLANK($L48), "", $L48)))</f>
        <v/>
      </c>
      <c r="BO48" s="99" t="str">
        <f>IF($T48&lt;&gt;マスタ!$B$3,
        IF(ISBLANK($S48),"",$S48),
             IF($BL48=マスタ!$C$3,0.8,
             IF($BL48=マスタ!$C$4,0.85,
             IF($BL48=マスタ!$C$6,0.9,
             IF($BL48=マスタ!$C$7,0.9,
             IF($BL48=マスタ!$C$5,1,
             IF($BL48=マスタ!$C$8,1,"無効な入力")))))))</f>
        <v/>
      </c>
      <c r="BP48" s="99" t="str">
        <f>IF($Y48&lt;&gt;マスタ!$B$3,
   IF(ISBLANK($X48), "", $X48),
   IF($BL48=マスタ!$C$3, 0.75,
      IF($BL48=マスタ!$C$4, 0.8,
         IF($BL48=マスタ!$C$6, 0.8,
            IF($BL48=マスタ!$C$7, 0.8,
               IF($BL48=マスタ!$C$5, 0.8,
                  IF($BL48=マスタ!$C$8, 0.8, "無効な入力")))))))</f>
        <v/>
      </c>
      <c r="BQ48" s="75"/>
      <c r="BR48" s="75"/>
      <c r="BS48" s="75"/>
      <c r="BT48" s="75"/>
      <c r="BU48" s="75"/>
      <c r="BV48" s="75"/>
      <c r="BW48" s="75"/>
      <c r="BX48" s="75"/>
      <c r="BY48" s="75"/>
    </row>
    <row r="49" spans="3:77" ht="30.75" customHeight="1">
      <c r="C49" s="69" t="str" cm="1">
        <f t="array" aca="1" ref="C49" ca="1">IF(SUMPRODUCT(--($D49:$AU49 &lt;&gt; "")),RIGHT(YEAR(TODAY()),2)&amp;"01"&amp;REPT("0",4-LEN(ROW()-11))&amp;ROW()-11,"")</f>
        <v/>
      </c>
      <c r="D49" s="141"/>
      <c r="E49" s="142"/>
      <c r="F49" s="71"/>
      <c r="G49" s="66"/>
      <c r="H49" s="41" t="str">
        <f>IFERROR(VLOOKUP(G49,マスタ!$D$3:$E$55,2,FALSE),"")</f>
        <v/>
      </c>
      <c r="I49" s="93"/>
      <c r="J49" s="77"/>
      <c r="K49" s="66"/>
      <c r="L49" s="103"/>
      <c r="M49" s="71"/>
      <c r="N49" s="101" t="str">
        <f>IF($M49 = $BM$9, $BM$9,
        IF($L49 = "", "",
              IF(OR(
                          AND(OR($G49 = マスタ!$D$54, $G49 = マスタ!$D$55), $L49 &lt;= $BP$9),
                          AND($G49 &lt;&gt; マスタ!$D$54, $G49 &lt;&gt; マスタ!$D$55, $L49 &lt;= $BQ$9)
                         ), $BM$9, $BN$9)))</f>
        <v/>
      </c>
      <c r="O49" s="71"/>
      <c r="P49" s="101" t="str">
        <f t="shared" si="21"/>
        <v/>
      </c>
      <c r="Q49" s="124"/>
      <c r="R49" s="124"/>
      <c r="S49" s="112" t="str">
        <f t="shared" si="19"/>
        <v/>
      </c>
      <c r="T49" s="71"/>
      <c r="U49" s="41" t="str">
        <f>IF($T49=$BM$9, $BM$9,
        IF($S49="", "",
             IF(OR(AND($BL49=マスタ!$C$3, $S49&lt;=$BS$9),
                        AND($BL49=マスタ!$C$4, $S49&lt;=$BT$9),
                        AND(OR($BL49=マスタ!$C$6, $BL49=マスタ!$C$7), $S49&lt;=$BU$9),
                        AND(OR($BL49=マスタ!$C$5, $BL49=マスタ!$C$8), $S49&lt;=$BV$9)),
                  $BM$9, $BN$9)))</f>
        <v/>
      </c>
      <c r="V49" s="129" t="str">
        <f t="shared" si="16"/>
        <v/>
      </c>
      <c r="W49" s="124"/>
      <c r="X49" s="112" t="str">
        <f t="shared" si="20"/>
        <v/>
      </c>
      <c r="Y49" s="71"/>
      <c r="Z49" s="41" t="str">
        <f>IF($Y49=$BM$9, $BM$9,
        IF(AND($T49 = $BM$9, $Y49 = $BO$9), $BN$9,
             IF($BL49=マスタ!$C$3,
                  IF($X49&lt;=$BW$9, $BM$9,$BN$9),
                       IF(OR($BL49=マスタ!$C$4, $BL49=マスタ!$C$5, $BL49=マスタ!$C$6, $BL49=マスタ!$C$7, $BL49=マスタ!$C$8),
                            IF($X49&lt;=$BX$9, $BM$9,$BN$9), ""))))</f>
        <v/>
      </c>
      <c r="AA49" s="71"/>
      <c r="AB49" s="71"/>
      <c r="AC49" s="71"/>
      <c r="AD49" s="165"/>
      <c r="AE49" s="71"/>
      <c r="AF49" s="165"/>
      <c r="AG49" s="92"/>
      <c r="AH49" s="92"/>
      <c r="AI49" s="92"/>
      <c r="AJ49" s="92"/>
      <c r="AK49" s="121"/>
      <c r="AL49" s="121"/>
      <c r="AM49" s="121"/>
      <c r="AN49" s="121"/>
      <c r="AO49" s="92"/>
      <c r="AP49" s="130" t="str">
        <f t="shared" si="5"/>
        <v/>
      </c>
      <c r="AQ49" s="121"/>
      <c r="AR49" s="101" t="str">
        <f>IF(OR(SUMPRODUCT(--(AJ49:AQ49&lt;&gt;""))&lt;7,AND($AJ49=マスタ!$N$3,$AK49="")), "",
        IF($AJ49=マスタ!$N$5, $BO$9,
              IF(OR($F49=マスタ!$C$3, $F49=マスタ!$C$4, $F49=マスタ!$C$5),
                    IF(SUM($AL49,$AM49,$AP49,$AQ49)&gt;=1, $BM$9, $BN$9),
              IF(OR($F49=マスタ!$C$6, $F49=マスタ!$C$7, $F49=マスタ!$C$8),
                    IF($AK49&lt;10, $BO$9,
                          IF(AND(SUM($AL49,$AM49,$AP49,$AQ49)&gt;=($AK49*0.2), $AM49+$AP49+$AQ49&gt;=1),
                               $BM$9,$BN$9))))))</f>
        <v/>
      </c>
      <c r="AS49" s="101" t="str">
        <f>IF(OR(SUMPRODUCT(--(AJ49:AQ49&lt;&gt;""))&lt;7,AND($AJ49=マスタ!$N$3,$AK49="")), "",
     IF($AR49=$BN$9,$BN$9,
        IF($AJ49=マスタ!$N$5, $BO$9,
             IF(OR($F49=マスタ!$C$3, $F49=マスタ!$C$4, $F49=マスタ!$C$5),
                   IF($AQ49&gt;=1, $BM$9, $BN$9),
             IF(OR($F49=マスタ!$C$6, $F49=マスタ!$C$7, $F49=マスタ!$C$8),
                   IF($AK49&lt;5, IF($AQ49&gt;=1, $BM$9, $BN$9),
                         IF(OR($AQ49&gt;=1,
                                    AND(SUM($AL49,$AM49,$AP49,$AQ49)&gt;=$AK49*0.5, ($AM49+$AP49+$AQ49)&gt;=($AK49*0.2))),
                              $BM$9,$BN$9)))))))</f>
        <v/>
      </c>
      <c r="AT49" s="66"/>
      <c r="AU49" s="143"/>
      <c r="AV49" s="98" t="str" cm="1">
        <f t="array" aca="1" ref="AV49" ca="1">IF(AND($F49:$G49&lt;&gt;"", $I49:$K49&lt;&gt;"",
                 IF(OR($M49=$BM$9,$O49=$BM$9), TRUE, $L49&lt;&gt;""),
                 $M49&lt;&gt;"",$O49&lt;&gt;"",
                 IF($T49=$BM$9, TRUE, $Q49:$R49&lt;&gt;""),
                 IF(AND($BL49&lt;&gt;"", $BL49&lt;&gt;マスタ!$C$5, $BL49&lt;&gt;マスタ!$C$8), TRUE, $T49&lt;&gt;""),
                 IF(OR(AND($T49=$BM$9,  $Y49=$BO$9), $Y49=$BM$9), TRUE,$W49&lt;&gt;""),
                 IF(AND($BL49&lt;&gt;"", $BL49&lt;&gt;マスタ!$C$5, $BL49&lt;&gt;マスタ!$C$8), TRUE, $Y49&lt;&gt;""),
                 $AA49&lt;&gt;"",
                 IF($AA49=マスタ!$F$4, TRUE, $AB49&lt;&gt;""),
                 $AG49:$AO49&lt;&gt;"", $AQ49&lt;&gt;"", $AT49&lt;&gt;""),
        "（正常）入力済み", IF($C49= "", "（複数入力）未入力", "（エラー）一部未入力"))</f>
        <v>（複数入力）未入力</v>
      </c>
      <c r="AW49" s="98" t="str">
        <f t="shared" ca="1" si="6"/>
        <v/>
      </c>
      <c r="AX49" s="98" t="str">
        <f t="shared" ca="1" si="22"/>
        <v/>
      </c>
      <c r="AY49" s="98" t="str">
        <f t="shared" ca="1" si="23"/>
        <v/>
      </c>
      <c r="AZ49" s="98" t="str">
        <f t="shared" ca="1" si="24"/>
        <v/>
      </c>
      <c r="BA49" s="98" t="str">
        <f t="shared" ca="1" si="25"/>
        <v/>
      </c>
      <c r="BB49" s="98" t="str">
        <f t="shared" ca="1" si="26"/>
        <v/>
      </c>
      <c r="BC49" s="98" t="str">
        <f t="shared" ca="1" si="27"/>
        <v/>
      </c>
      <c r="BD49" s="98" t="str">
        <f t="shared" ca="1" si="28"/>
        <v/>
      </c>
      <c r="BE49" s="98" t="str">
        <f>IF($BL49="","",
   IF($T49=入力不可用2,
      IF(OR($BL49=マスタ!$C$5,$BL49=マスタ!$C$8), "未入力", "（正常）規定値"),
      IF(OR($BL49=マスタ!$C$5,$BL49=マスタ!$C$8), "（正常）規定値", "（エラー）値入力不可")))</f>
        <v/>
      </c>
      <c r="BF49" s="98" t="str">
        <f ca="1">IF($C49 = "", "",
       IF(AND(OR($BL49=マスタ!$C$5, $BL49=マスタ!$C$8), $T49 = ""), "未入力",
            IF(AND($Y49 = $BM$9, $T49 = $BO$9), "（エラー）「適合」のみ入力可", "（正常）規定値")))</f>
        <v/>
      </c>
      <c r="BG49" s="98" t="str">
        <f t="shared" ca="1" si="29"/>
        <v/>
      </c>
      <c r="BH49" s="98" t="str">
        <f t="shared" ca="1" si="30"/>
        <v/>
      </c>
      <c r="BI49" s="98" t="str">
        <f>IF($BL49="","",
   IF($Y49=入力不可用2,
      IF(OR($BL49=マスタ!$C$5,$BL49=マスタ!$C$8), "未入力", "（正常）規定値"),
      IF(OR($BL49=マスタ!$C$5,$BL49=マスタ!$C$8), "（正常）規定値", "（エラー）値入力不可")))</f>
        <v/>
      </c>
      <c r="BJ49" s="98" t="str">
        <f>IF($AA49="", "",
        IF($AA49=マスタ!$F$3,
             IF($AB49="", "未入力", "（正常）規定値"),
                  IF($AA49=マスタ!$F$4,
                       IF($AB49&lt;&gt;入力不可用2, "（エラー）値入力不可", "（正常）規定値"))))</f>
        <v/>
      </c>
      <c r="BL49" s="75" t="str">
        <f>IF(OR($F49 = マスタ!$C$5, F49 = マスタ!$C$8), $F49,
        IF(AND($F49 = マスタ!$C$3, 'その１事業者基本情報_入力シート（一部非公開）'!$U$16), $F49,
             IF(AND($F49 = マスタ!$C$4, 'その１事業者基本情報_入力シート（一部非公開）'!$S$16), $F49,
                  IF(AND(OR($F49 = マスタ!$C$6, $F49 = マスタ!$C$7),
                                'その１事業者基本情報_入力シート（一部非公開）'!$W$16), $F49,
                       IF(OR($F49 = マスタ!$C$3, $F49=マスタ!$C$4), マスタ!$C$5,
                            IF(OR($F49 = マスタ!$C$6, $F49 = マスタ!$C$7), マスタ!$C$8, ""))))))</f>
        <v/>
      </c>
      <c r="BM49" s="75" t="str">
        <f>IF($L49&lt;&gt;"", $L49,
       IF($M49 = マスタ!$B$3,
          IF(OR($F49=マスタ!$C$3,$F49=マスタ!$C$4,$F49=マスタ!$C$5),
            IF(OR($G49 = マスタ!$D$54, $G49 = マスタ!$D$55), 0.75, 0.87),
            IF(OR($G49 = マスタ!$D$54, $G49 = マスタ!$D$55), 0.62, 0.72)),
                 IF(ISBLANK($L49), "", $L49)))</f>
        <v/>
      </c>
      <c r="BN49" s="99" t="str">
        <f>IF($L49&lt;&gt;"", $L49,
        IF($O49 = マスタ!$B$3,
          IF(OR($F49=マスタ!$C$3,$F49=マスタ!$C$4,$F49=マスタ!$C$5), 0.6, 0.5),
             IF(ISBLANK($L49), "", $L49)))</f>
        <v/>
      </c>
      <c r="BO49" s="99" t="str">
        <f>IF($T49&lt;&gt;マスタ!$B$3,
        IF(ISBLANK($S49),"",$S49),
             IF($BL49=マスタ!$C$3,0.8,
             IF($BL49=マスタ!$C$4,0.85,
             IF($BL49=マスタ!$C$6,0.9,
             IF($BL49=マスタ!$C$7,0.9,
             IF($BL49=マスタ!$C$5,1,
             IF($BL49=マスタ!$C$8,1,"無効な入力")))))))</f>
        <v/>
      </c>
      <c r="BP49" s="99" t="str">
        <f>IF($Y49&lt;&gt;マスタ!$B$3,
   IF(ISBLANK($X49), "", $X49),
   IF($BL49=マスタ!$C$3, 0.75,
      IF($BL49=マスタ!$C$4, 0.8,
         IF($BL49=マスタ!$C$6, 0.8,
            IF($BL49=マスタ!$C$7, 0.8,
               IF($BL49=マスタ!$C$5, 0.8,
                  IF($BL49=マスタ!$C$8, 0.8, "無効な入力")))))))</f>
        <v/>
      </c>
      <c r="BQ49" s="75"/>
      <c r="BR49" s="75"/>
      <c r="BS49" s="75"/>
      <c r="BT49" s="75"/>
      <c r="BU49" s="75"/>
      <c r="BV49" s="75"/>
      <c r="BW49" s="75"/>
      <c r="BX49" s="75"/>
      <c r="BY49" s="75"/>
    </row>
    <row r="50" spans="3:77" ht="30.75" customHeight="1">
      <c r="C50" s="69" t="str" cm="1">
        <f t="array" aca="1" ref="C50" ca="1">IF(SUMPRODUCT(--($D50:$AU50 &lt;&gt; "")),RIGHT(YEAR(TODAY()),2)&amp;"01"&amp;REPT("0",4-LEN(ROW()-11))&amp;ROW()-11,"")</f>
        <v/>
      </c>
      <c r="D50" s="141"/>
      <c r="E50" s="142"/>
      <c r="F50" s="71"/>
      <c r="G50" s="66"/>
      <c r="H50" s="41" t="str">
        <f>IFERROR(VLOOKUP(G50,マスタ!$D$3:$E$55,2,FALSE),"")</f>
        <v/>
      </c>
      <c r="I50" s="93"/>
      <c r="J50" s="77"/>
      <c r="K50" s="66"/>
      <c r="L50" s="103"/>
      <c r="M50" s="71"/>
      <c r="N50" s="101" t="str">
        <f>IF($M50 = $BM$9, $BM$9,
        IF($L50 = "", "",
              IF(OR(
                          AND(OR($G50 = マスタ!$D$54, $G50 = マスタ!$D$55), $L50 &lt;= $BP$9),
                          AND($G50 &lt;&gt; マスタ!$D$54, $G50 &lt;&gt; マスタ!$D$55, $L50 &lt;= $BQ$9)
                         ), $BM$9, $BN$9)))</f>
        <v/>
      </c>
      <c r="O50" s="71"/>
      <c r="P50" s="101" t="str">
        <f t="shared" si="21"/>
        <v/>
      </c>
      <c r="Q50" s="124"/>
      <c r="R50" s="124"/>
      <c r="S50" s="112" t="str">
        <f t="shared" si="19"/>
        <v/>
      </c>
      <c r="T50" s="71"/>
      <c r="U50" s="41" t="str">
        <f>IF($T50=$BM$9, $BM$9,
        IF($S50="", "",
             IF(OR(AND($BL50=マスタ!$C$3, $S50&lt;=$BS$9),
                        AND($BL50=マスタ!$C$4, $S50&lt;=$BT$9),
                        AND(OR($BL50=マスタ!$C$6, $BL50=マスタ!$C$7), $S50&lt;=$BU$9),
                        AND(OR($BL50=マスタ!$C$5, $BL50=マスタ!$C$8), $S50&lt;=$BV$9)),
                  $BM$9, $BN$9)))</f>
        <v/>
      </c>
      <c r="V50" s="129" t="str">
        <f t="shared" si="16"/>
        <v/>
      </c>
      <c r="W50" s="124"/>
      <c r="X50" s="112" t="str">
        <f t="shared" si="20"/>
        <v/>
      </c>
      <c r="Y50" s="71"/>
      <c r="Z50" s="41" t="str">
        <f>IF($Y50=$BM$9, $BM$9,
        IF(AND($T50 = $BM$9, $Y50 = $BO$9), $BN$9,
             IF($BL50=マスタ!$C$3,
                  IF($X50&lt;=$BW$9, $BM$9,$BN$9),
                       IF(OR($BL50=マスタ!$C$4, $BL50=マスタ!$C$5, $BL50=マスタ!$C$6, $BL50=マスタ!$C$7, $BL50=マスタ!$C$8),
                            IF($X50&lt;=$BX$9, $BM$9,$BN$9), ""))))</f>
        <v/>
      </c>
      <c r="AA50" s="71"/>
      <c r="AB50" s="71"/>
      <c r="AC50" s="71"/>
      <c r="AD50" s="165"/>
      <c r="AE50" s="71"/>
      <c r="AF50" s="165"/>
      <c r="AG50" s="92"/>
      <c r="AH50" s="92"/>
      <c r="AI50" s="92"/>
      <c r="AJ50" s="92"/>
      <c r="AK50" s="121"/>
      <c r="AL50" s="121"/>
      <c r="AM50" s="121"/>
      <c r="AN50" s="121"/>
      <c r="AO50" s="92"/>
      <c r="AP50" s="130" t="str">
        <f t="shared" si="5"/>
        <v/>
      </c>
      <c r="AQ50" s="121"/>
      <c r="AR50" s="101" t="str">
        <f>IF(OR(SUMPRODUCT(--(AJ50:AQ50&lt;&gt;""))&lt;7,AND($AJ50=マスタ!$N$3,$AK50="")), "",
        IF($AJ50=マスタ!$N$5, $BO$9,
              IF(OR($F50=マスタ!$C$3, $F50=マスタ!$C$4, $F50=マスタ!$C$5),
                    IF(SUM($AL50,$AM50,$AP50,$AQ50)&gt;=1, $BM$9, $BN$9),
              IF(OR($F50=マスタ!$C$6, $F50=マスタ!$C$7, $F50=マスタ!$C$8),
                    IF($AK50&lt;10, $BO$9,
                          IF(AND(SUM($AL50,$AM50,$AP50,$AQ50)&gt;=($AK50*0.2), $AM50+$AP50+$AQ50&gt;=1),
                               $BM$9,$BN$9))))))</f>
        <v/>
      </c>
      <c r="AS50" s="101" t="str">
        <f>IF(OR(SUMPRODUCT(--(AJ50:AQ50&lt;&gt;""))&lt;7,AND($AJ50=マスタ!$N$3,$AK50="")), "",
     IF($AR50=$BN$9,$BN$9,
        IF($AJ50=マスタ!$N$5, $BO$9,
             IF(OR($F50=マスタ!$C$3, $F50=マスタ!$C$4, $F50=マスタ!$C$5),
                   IF($AQ50&gt;=1, $BM$9, $BN$9),
             IF(OR($F50=マスタ!$C$6, $F50=マスタ!$C$7, $F50=マスタ!$C$8),
                   IF($AK50&lt;5, IF($AQ50&gt;=1, $BM$9, $BN$9),
                         IF(OR($AQ50&gt;=1,
                                    AND(SUM($AL50,$AM50,$AP50,$AQ50)&gt;=$AK50*0.5, ($AM50+$AP50+$AQ50)&gt;=($AK50*0.2))),
                              $BM$9,$BN$9)))))))</f>
        <v/>
      </c>
      <c r="AT50" s="66"/>
      <c r="AU50" s="143"/>
      <c r="AV50" s="98" t="str" cm="1">
        <f t="array" aca="1" ref="AV50" ca="1">IF(AND($F50:$G50&lt;&gt;"", $I50:$K50&lt;&gt;"",
                 IF(OR($M50=$BM$9,$O50=$BM$9), TRUE, $L50&lt;&gt;""),
                 $M50&lt;&gt;"",$O50&lt;&gt;"",
                 IF($T50=$BM$9, TRUE, $Q50:$R50&lt;&gt;""),
                 IF(AND($BL50&lt;&gt;"", $BL50&lt;&gt;マスタ!$C$5, $BL50&lt;&gt;マスタ!$C$8), TRUE, $T50&lt;&gt;""),
                 IF(OR(AND($T50=$BM$9,  $Y50=$BO$9), $Y50=$BM$9), TRUE,$W50&lt;&gt;""),
                 IF(AND($BL50&lt;&gt;"", $BL50&lt;&gt;マスタ!$C$5, $BL50&lt;&gt;マスタ!$C$8), TRUE, $Y50&lt;&gt;""),
                 $AA50&lt;&gt;"",
                 IF($AA50=マスタ!$F$4, TRUE, $AB50&lt;&gt;""),
                 $AG50:$AO50&lt;&gt;"", $AQ50&lt;&gt;"", $AT50&lt;&gt;""),
        "（正常）入力済み", IF($C50= "", "（複数入力）未入力", "（エラー）一部未入力"))</f>
        <v>（複数入力）未入力</v>
      </c>
      <c r="AW50" s="98" t="str">
        <f t="shared" ca="1" si="6"/>
        <v/>
      </c>
      <c r="AX50" s="98" t="str">
        <f t="shared" ca="1" si="22"/>
        <v/>
      </c>
      <c r="AY50" s="98" t="str">
        <f t="shared" ca="1" si="23"/>
        <v/>
      </c>
      <c r="AZ50" s="98" t="str">
        <f t="shared" ca="1" si="24"/>
        <v/>
      </c>
      <c r="BA50" s="98" t="str">
        <f t="shared" ca="1" si="25"/>
        <v/>
      </c>
      <c r="BB50" s="98" t="str">
        <f t="shared" ca="1" si="26"/>
        <v/>
      </c>
      <c r="BC50" s="98" t="str">
        <f t="shared" ca="1" si="27"/>
        <v/>
      </c>
      <c r="BD50" s="98" t="str">
        <f t="shared" ca="1" si="28"/>
        <v/>
      </c>
      <c r="BE50" s="98" t="str">
        <f>IF($BL50="","",
   IF($T50=入力不可用2,
      IF(OR($BL50=マスタ!$C$5,$BL50=マスタ!$C$8), "未入力", "（正常）規定値"),
      IF(OR($BL50=マスタ!$C$5,$BL50=マスタ!$C$8), "（正常）規定値", "（エラー）値入力不可")))</f>
        <v/>
      </c>
      <c r="BF50" s="98" t="str">
        <f ca="1">IF($C50 = "", "",
       IF(AND(OR($BL50=マスタ!$C$5, $BL50=マスタ!$C$8), $T50 = ""), "未入力",
            IF(AND($Y50 = $BM$9, $T50 = $BO$9), "（エラー）「適合」のみ入力可", "（正常）規定値")))</f>
        <v/>
      </c>
      <c r="BG50" s="98" t="str">
        <f t="shared" ca="1" si="29"/>
        <v/>
      </c>
      <c r="BH50" s="98" t="str">
        <f t="shared" ca="1" si="30"/>
        <v/>
      </c>
      <c r="BI50" s="98" t="str">
        <f>IF($BL50="","",
   IF($Y50=入力不可用2,
      IF(OR($BL50=マスタ!$C$5,$BL50=マスタ!$C$8), "未入力", "（正常）規定値"),
      IF(OR($BL50=マスタ!$C$5,$BL50=マスタ!$C$8), "（正常）規定値", "（エラー）値入力不可")))</f>
        <v/>
      </c>
      <c r="BJ50" s="98" t="str">
        <f>IF($AA50="", "",
        IF($AA50=マスタ!$F$3,
             IF($AB50="", "未入力", "（正常）規定値"),
                  IF($AA50=マスタ!$F$4,
                       IF($AB50&lt;&gt;入力不可用2, "（エラー）値入力不可", "（正常）規定値"))))</f>
        <v/>
      </c>
      <c r="BL50" s="75" t="str">
        <f>IF(OR($F50 = マスタ!$C$5, F50 = マスタ!$C$8), $F50,
        IF(AND($F50 = マスタ!$C$3, 'その１事業者基本情報_入力シート（一部非公開）'!$U$16), $F50,
             IF(AND($F50 = マスタ!$C$4, 'その１事業者基本情報_入力シート（一部非公開）'!$S$16), $F50,
                  IF(AND(OR($F50 = マスタ!$C$6, $F50 = マスタ!$C$7),
                                'その１事業者基本情報_入力シート（一部非公開）'!$W$16), $F50,
                       IF(OR($F50 = マスタ!$C$3, $F50=マスタ!$C$4), マスタ!$C$5,
                            IF(OR($F50 = マスタ!$C$6, $F50 = マスタ!$C$7), マスタ!$C$8, ""))))))</f>
        <v/>
      </c>
      <c r="BM50" s="75" t="str">
        <f>IF($L50&lt;&gt;"", $L50,
       IF($M50 = マスタ!$B$3,
          IF(OR($F50=マスタ!$C$3,$F50=マスタ!$C$4,$F50=マスタ!$C$5),
            IF(OR($G50 = マスタ!$D$54, $G50 = マスタ!$D$55), 0.75, 0.87),
            IF(OR($G50 = マスタ!$D$54, $G50 = マスタ!$D$55), 0.62, 0.72)),
                 IF(ISBLANK($L50), "", $L50)))</f>
        <v/>
      </c>
      <c r="BN50" s="99" t="str">
        <f>IF($L50&lt;&gt;"", $L50,
        IF($O50 = マスタ!$B$3,
          IF(OR($F50=マスタ!$C$3,$F50=マスタ!$C$4,$F50=マスタ!$C$5), 0.6, 0.5),
             IF(ISBLANK($L50), "", $L50)))</f>
        <v/>
      </c>
      <c r="BO50" s="99" t="str">
        <f>IF($T50&lt;&gt;マスタ!$B$3,
        IF(ISBLANK($S50),"",$S50),
             IF($BL50=マスタ!$C$3,0.8,
             IF($BL50=マスタ!$C$4,0.85,
             IF($BL50=マスタ!$C$6,0.9,
             IF($BL50=マスタ!$C$7,0.9,
             IF($BL50=マスタ!$C$5,1,
             IF($BL50=マスタ!$C$8,1,"無効な入力")))))))</f>
        <v/>
      </c>
      <c r="BP50" s="99" t="str">
        <f>IF($Y50&lt;&gt;マスタ!$B$3,
   IF(ISBLANK($X50), "", $X50),
   IF($BL50=マスタ!$C$3, 0.75,
      IF($BL50=マスタ!$C$4, 0.8,
         IF($BL50=マスタ!$C$6, 0.8,
            IF($BL50=マスタ!$C$7, 0.8,
               IF($BL50=マスタ!$C$5, 0.8,
                  IF($BL50=マスタ!$C$8, 0.8, "無効な入力")))))))</f>
        <v/>
      </c>
      <c r="BQ50" s="75"/>
      <c r="BR50" s="75"/>
      <c r="BS50" s="75"/>
      <c r="BT50" s="75"/>
      <c r="BU50" s="75"/>
      <c r="BV50" s="75"/>
      <c r="BW50" s="75"/>
      <c r="BX50" s="75"/>
      <c r="BY50" s="75"/>
    </row>
    <row r="51" spans="3:77" ht="30.75" customHeight="1">
      <c r="C51" s="69" t="str" cm="1">
        <f t="array" aca="1" ref="C51" ca="1">IF(SUMPRODUCT(--($D51:$AU51 &lt;&gt; "")),RIGHT(YEAR(TODAY()),2)&amp;"01"&amp;REPT("0",4-LEN(ROW()-11))&amp;ROW()-11,"")</f>
        <v/>
      </c>
      <c r="D51" s="141"/>
      <c r="E51" s="142"/>
      <c r="F51" s="71"/>
      <c r="G51" s="66"/>
      <c r="H51" s="41" t="str">
        <f>IFERROR(VLOOKUP(G51,マスタ!$D$3:$E$55,2,FALSE),"")</f>
        <v/>
      </c>
      <c r="I51" s="93"/>
      <c r="J51" s="77"/>
      <c r="K51" s="66"/>
      <c r="L51" s="103"/>
      <c r="M51" s="71"/>
      <c r="N51" s="101" t="str">
        <f>IF($M51 = $BM$9, $BM$9,
        IF($L51 = "", "",
              IF(OR(
                          AND(OR($G51 = マスタ!$D$54, $G51 = マスタ!$D$55), $L51 &lt;= $BP$9),
                          AND($G51 &lt;&gt; マスタ!$D$54, $G51 &lt;&gt; マスタ!$D$55, $L51 &lt;= $BQ$9)
                         ), $BM$9, $BN$9)))</f>
        <v/>
      </c>
      <c r="O51" s="71"/>
      <c r="P51" s="101" t="str">
        <f t="shared" si="21"/>
        <v/>
      </c>
      <c r="Q51" s="124"/>
      <c r="R51" s="124"/>
      <c r="S51" s="112" t="str">
        <f t="shared" si="19"/>
        <v/>
      </c>
      <c r="T51" s="71"/>
      <c r="U51" s="41" t="str">
        <f>IF($T51=$BM$9, $BM$9,
        IF($S51="", "",
             IF(OR(AND($BL51=マスタ!$C$3, $S51&lt;=$BS$9),
                        AND($BL51=マスタ!$C$4, $S51&lt;=$BT$9),
                        AND(OR($BL51=マスタ!$C$6, $BL51=マスタ!$C$7), $S51&lt;=$BU$9),
                        AND(OR($BL51=マスタ!$C$5, $BL51=マスタ!$C$8), $S51&lt;=$BV$9)),
                  $BM$9, $BN$9)))</f>
        <v/>
      </c>
      <c r="V51" s="129" t="str">
        <f t="shared" si="16"/>
        <v/>
      </c>
      <c r="W51" s="124"/>
      <c r="X51" s="112" t="str">
        <f t="shared" si="20"/>
        <v/>
      </c>
      <c r="Y51" s="71"/>
      <c r="Z51" s="41" t="str">
        <f>IF($Y51=$BM$9, $BM$9,
        IF(AND($T51 = $BM$9, $Y51 = $BO$9), $BN$9,
             IF($BL51=マスタ!$C$3,
                  IF($X51&lt;=$BW$9, $BM$9,$BN$9),
                       IF(OR($BL51=マスタ!$C$4, $BL51=マスタ!$C$5, $BL51=マスタ!$C$6, $BL51=マスタ!$C$7, $BL51=マスタ!$C$8),
                            IF($X51&lt;=$BX$9, $BM$9,$BN$9), ""))))</f>
        <v/>
      </c>
      <c r="AA51" s="71"/>
      <c r="AB51" s="71"/>
      <c r="AC51" s="71"/>
      <c r="AD51" s="165"/>
      <c r="AE51" s="71"/>
      <c r="AF51" s="165"/>
      <c r="AG51" s="92"/>
      <c r="AH51" s="92"/>
      <c r="AI51" s="92"/>
      <c r="AJ51" s="92"/>
      <c r="AK51" s="121"/>
      <c r="AL51" s="121"/>
      <c r="AM51" s="121"/>
      <c r="AN51" s="121"/>
      <c r="AO51" s="92"/>
      <c r="AP51" s="130" t="str">
        <f t="shared" si="5"/>
        <v/>
      </c>
      <c r="AQ51" s="121"/>
      <c r="AR51" s="101" t="str">
        <f>IF(OR(SUMPRODUCT(--(AJ51:AQ51&lt;&gt;""))&lt;7,AND($AJ51=マスタ!$N$3,$AK51="")), "",
        IF($AJ51=マスタ!$N$5, $BO$9,
              IF(OR($F51=マスタ!$C$3, $F51=マスタ!$C$4, $F51=マスタ!$C$5),
                    IF(SUM($AL51,$AM51,$AP51,$AQ51)&gt;=1, $BM$9, $BN$9),
              IF(OR($F51=マスタ!$C$6, $F51=マスタ!$C$7, $F51=マスタ!$C$8),
                    IF($AK51&lt;10, $BO$9,
                          IF(AND(SUM($AL51,$AM51,$AP51,$AQ51)&gt;=($AK51*0.2), $AM51+$AP51+$AQ51&gt;=1),
                               $BM$9,$BN$9))))))</f>
        <v/>
      </c>
      <c r="AS51" s="101" t="str">
        <f>IF(OR(SUMPRODUCT(--(AJ51:AQ51&lt;&gt;""))&lt;7,AND($AJ51=マスタ!$N$3,$AK51="")), "",
     IF($AR51=$BN$9,$BN$9,
        IF($AJ51=マスタ!$N$5, $BO$9,
             IF(OR($F51=マスタ!$C$3, $F51=マスタ!$C$4, $F51=マスタ!$C$5),
                   IF($AQ51&gt;=1, $BM$9, $BN$9),
             IF(OR($F51=マスタ!$C$6, $F51=マスタ!$C$7, $F51=マスタ!$C$8),
                   IF($AK51&lt;5, IF($AQ51&gt;=1, $BM$9, $BN$9),
                         IF(OR($AQ51&gt;=1,
                                    AND(SUM($AL51,$AM51,$AP51,$AQ51)&gt;=$AK51*0.5, ($AM51+$AP51+$AQ51)&gt;=($AK51*0.2))),
                              $BM$9,$BN$9)))))))</f>
        <v/>
      </c>
      <c r="AT51" s="66"/>
      <c r="AU51" s="143"/>
      <c r="AV51" s="98" t="str" cm="1">
        <f t="array" aca="1" ref="AV51" ca="1">IF(AND($F51:$G51&lt;&gt;"", $I51:$K51&lt;&gt;"",
                 IF(OR($M51=$BM$9,$O51=$BM$9), TRUE, $L51&lt;&gt;""),
                 $M51&lt;&gt;"",$O51&lt;&gt;"",
                 IF($T51=$BM$9, TRUE, $Q51:$R51&lt;&gt;""),
                 IF(AND($BL51&lt;&gt;"", $BL51&lt;&gt;マスタ!$C$5, $BL51&lt;&gt;マスタ!$C$8), TRUE, $T51&lt;&gt;""),
                 IF(OR(AND($T51=$BM$9,  $Y51=$BO$9), $Y51=$BM$9), TRUE,$W51&lt;&gt;""),
                 IF(AND($BL51&lt;&gt;"", $BL51&lt;&gt;マスタ!$C$5, $BL51&lt;&gt;マスタ!$C$8), TRUE, $Y51&lt;&gt;""),
                 $AA51&lt;&gt;"",
                 IF($AA51=マスタ!$F$4, TRUE, $AB51&lt;&gt;""),
                 $AG51:$AO51&lt;&gt;"", $AQ51&lt;&gt;"", $AT51&lt;&gt;""),
        "（正常）入力済み", IF($C51= "", "（複数入力）未入力", "（エラー）一部未入力"))</f>
        <v>（複数入力）未入力</v>
      </c>
      <c r="AW51" s="98" t="str">
        <f t="shared" ca="1" si="6"/>
        <v/>
      </c>
      <c r="AX51" s="98" t="str">
        <f t="shared" ca="1" si="22"/>
        <v/>
      </c>
      <c r="AY51" s="98" t="str">
        <f t="shared" ca="1" si="23"/>
        <v/>
      </c>
      <c r="AZ51" s="98" t="str">
        <f t="shared" ca="1" si="24"/>
        <v/>
      </c>
      <c r="BA51" s="98" t="str">
        <f t="shared" ca="1" si="25"/>
        <v/>
      </c>
      <c r="BB51" s="98" t="str">
        <f t="shared" ca="1" si="26"/>
        <v/>
      </c>
      <c r="BC51" s="98" t="str">
        <f t="shared" ca="1" si="27"/>
        <v/>
      </c>
      <c r="BD51" s="98" t="str">
        <f t="shared" ca="1" si="28"/>
        <v/>
      </c>
      <c r="BE51" s="98" t="str">
        <f>IF($BL51="","",
   IF($T51=入力不可用2,
      IF(OR($BL51=マスタ!$C$5,$BL51=マスタ!$C$8), "未入力", "（正常）規定値"),
      IF(OR($BL51=マスタ!$C$5,$BL51=マスタ!$C$8), "（正常）規定値", "（エラー）値入力不可")))</f>
        <v/>
      </c>
      <c r="BF51" s="98" t="str">
        <f ca="1">IF($C51 = "", "",
       IF(AND(OR($BL51=マスタ!$C$5, $BL51=マスタ!$C$8), $T51 = ""), "未入力",
            IF(AND($Y51 = $BM$9, $T51 = $BO$9), "（エラー）「適合」のみ入力可", "（正常）規定値")))</f>
        <v/>
      </c>
      <c r="BG51" s="98" t="str">
        <f t="shared" ca="1" si="29"/>
        <v/>
      </c>
      <c r="BH51" s="98" t="str">
        <f t="shared" ca="1" si="30"/>
        <v/>
      </c>
      <c r="BI51" s="98" t="str">
        <f>IF($BL51="","",
   IF($Y51=入力不可用2,
      IF(OR($BL51=マスタ!$C$5,$BL51=マスタ!$C$8), "未入力", "（正常）規定値"),
      IF(OR($BL51=マスタ!$C$5,$BL51=マスタ!$C$8), "（正常）規定値", "（エラー）値入力不可")))</f>
        <v/>
      </c>
      <c r="BJ51" s="98" t="str">
        <f>IF($AA51="", "",
        IF($AA51=マスタ!$F$3,
             IF($AB51="", "未入力", "（正常）規定値"),
                  IF($AA51=マスタ!$F$4,
                       IF($AB51&lt;&gt;入力不可用2, "（エラー）値入力不可", "（正常）規定値"))))</f>
        <v/>
      </c>
      <c r="BL51" s="75" t="str">
        <f>IF(OR($F51 = マスタ!$C$5, F51 = マスタ!$C$8), $F51,
        IF(AND($F51 = マスタ!$C$3, 'その１事業者基本情報_入力シート（一部非公開）'!$U$16), $F51,
             IF(AND($F51 = マスタ!$C$4, 'その１事業者基本情報_入力シート（一部非公開）'!$S$16), $F51,
                  IF(AND(OR($F51 = マスタ!$C$6, $F51 = マスタ!$C$7),
                                'その１事業者基本情報_入力シート（一部非公開）'!$W$16), $F51,
                       IF(OR($F51 = マスタ!$C$3, $F51=マスタ!$C$4), マスタ!$C$5,
                            IF(OR($F51 = マスタ!$C$6, $F51 = マスタ!$C$7), マスタ!$C$8, ""))))))</f>
        <v/>
      </c>
      <c r="BM51" s="75" t="str">
        <f>IF($L51&lt;&gt;"", $L51,
       IF($M51 = マスタ!$B$3,
          IF(OR($F51=マスタ!$C$3,$F51=マスタ!$C$4,$F51=マスタ!$C$5),
            IF(OR($G51 = マスタ!$D$54, $G51 = マスタ!$D$55), 0.75, 0.87),
            IF(OR($G51 = マスタ!$D$54, $G51 = マスタ!$D$55), 0.62, 0.72)),
                 IF(ISBLANK($L51), "", $L51)))</f>
        <v/>
      </c>
      <c r="BN51" s="99" t="str">
        <f>IF($L51&lt;&gt;"", $L51,
        IF($O51 = マスタ!$B$3,
          IF(OR($F51=マスタ!$C$3,$F51=マスタ!$C$4,$F51=マスタ!$C$5), 0.6, 0.5),
             IF(ISBLANK($L51), "", $L51)))</f>
        <v/>
      </c>
      <c r="BO51" s="99" t="str">
        <f>IF($T51&lt;&gt;マスタ!$B$3,
        IF(ISBLANK($S51),"",$S51),
             IF($BL51=マスタ!$C$3,0.8,
             IF($BL51=マスタ!$C$4,0.85,
             IF($BL51=マスタ!$C$6,0.9,
             IF($BL51=マスタ!$C$7,0.9,
             IF($BL51=マスタ!$C$5,1,
             IF($BL51=マスタ!$C$8,1,"無効な入力")))))))</f>
        <v/>
      </c>
      <c r="BP51" s="99" t="str">
        <f>IF($Y51&lt;&gt;マスタ!$B$3,
   IF(ISBLANK($X51), "", $X51),
   IF($BL51=マスタ!$C$3, 0.75,
      IF($BL51=マスタ!$C$4, 0.8,
         IF($BL51=マスタ!$C$6, 0.8,
            IF($BL51=マスタ!$C$7, 0.8,
               IF($BL51=マスタ!$C$5, 0.8,
                  IF($BL51=マスタ!$C$8, 0.8, "無効な入力")))))))</f>
        <v/>
      </c>
      <c r="BQ51" s="75"/>
      <c r="BR51" s="75"/>
      <c r="BS51" s="75"/>
      <c r="BT51" s="75"/>
      <c r="BU51" s="75"/>
      <c r="BV51" s="75"/>
      <c r="BW51" s="75"/>
      <c r="BX51" s="75"/>
      <c r="BY51" s="75"/>
    </row>
    <row r="52" spans="3:77" ht="30.75" customHeight="1">
      <c r="C52" s="69" t="str" cm="1">
        <f t="array" aca="1" ref="C52" ca="1">IF(SUMPRODUCT(--($D52:$AU52 &lt;&gt; "")),RIGHT(YEAR(TODAY()),2)&amp;"01"&amp;REPT("0",4-LEN(ROW()-11))&amp;ROW()-11,"")</f>
        <v/>
      </c>
      <c r="D52" s="141"/>
      <c r="E52" s="142"/>
      <c r="F52" s="71"/>
      <c r="G52" s="66"/>
      <c r="H52" s="41" t="str">
        <f>IFERROR(VLOOKUP(G52,マスタ!$D$3:$E$55,2,FALSE),"")</f>
        <v/>
      </c>
      <c r="I52" s="93"/>
      <c r="J52" s="77"/>
      <c r="K52" s="66"/>
      <c r="L52" s="103"/>
      <c r="M52" s="71"/>
      <c r="N52" s="101" t="str">
        <f>IF($M52 = $BM$9, $BM$9,
        IF($L52 = "", "",
              IF(OR(
                          AND(OR($G52 = マスタ!$D$54, $G52 = マスタ!$D$55), $L52 &lt;= $BP$9),
                          AND($G52 &lt;&gt; マスタ!$D$54, $G52 &lt;&gt; マスタ!$D$55, $L52 &lt;= $BQ$9)
                         ), $BM$9, $BN$9)))</f>
        <v/>
      </c>
      <c r="O52" s="71"/>
      <c r="P52" s="101" t="str">
        <f t="shared" si="21"/>
        <v/>
      </c>
      <c r="Q52" s="124"/>
      <c r="R52" s="124"/>
      <c r="S52" s="112" t="str">
        <f t="shared" si="19"/>
        <v/>
      </c>
      <c r="T52" s="71"/>
      <c r="U52" s="41" t="str">
        <f>IF($T52=$BM$9, $BM$9,
        IF($S52="", "",
             IF(OR(AND($BL52=マスタ!$C$3, $S52&lt;=$BS$9),
                        AND($BL52=マスタ!$C$4, $S52&lt;=$BT$9),
                        AND(OR($BL52=マスタ!$C$6, $BL52=マスタ!$C$7), $S52&lt;=$BU$9),
                        AND(OR($BL52=マスタ!$C$5, $BL52=マスタ!$C$8), $S52&lt;=$BV$9)),
                  $BM$9, $BN$9)))</f>
        <v/>
      </c>
      <c r="V52" s="129" t="str">
        <f t="shared" si="16"/>
        <v/>
      </c>
      <c r="W52" s="124"/>
      <c r="X52" s="112" t="str">
        <f t="shared" si="20"/>
        <v/>
      </c>
      <c r="Y52" s="71"/>
      <c r="Z52" s="41" t="str">
        <f>IF($Y52=$BM$9, $BM$9,
        IF(AND($T52 = $BM$9, $Y52 = $BO$9), $BN$9,
             IF($BL52=マスタ!$C$3,
                  IF($X52&lt;=$BW$9, $BM$9,$BN$9),
                       IF(OR($BL52=マスタ!$C$4, $BL52=マスタ!$C$5, $BL52=マスタ!$C$6, $BL52=マスタ!$C$7, $BL52=マスタ!$C$8),
                            IF($X52&lt;=$BX$9, $BM$9,$BN$9), ""))))</f>
        <v/>
      </c>
      <c r="AA52" s="71"/>
      <c r="AB52" s="71"/>
      <c r="AC52" s="71"/>
      <c r="AD52" s="165"/>
      <c r="AE52" s="71"/>
      <c r="AF52" s="165"/>
      <c r="AG52" s="92"/>
      <c r="AH52" s="92"/>
      <c r="AI52" s="92"/>
      <c r="AJ52" s="92"/>
      <c r="AK52" s="121"/>
      <c r="AL52" s="121"/>
      <c r="AM52" s="121"/>
      <c r="AN52" s="121"/>
      <c r="AO52" s="92"/>
      <c r="AP52" s="130" t="str">
        <f t="shared" si="5"/>
        <v/>
      </c>
      <c r="AQ52" s="121"/>
      <c r="AR52" s="101" t="str">
        <f>IF(OR(SUMPRODUCT(--(AJ52:AQ52&lt;&gt;""))&lt;7,AND($AJ52=マスタ!$N$3,$AK52="")), "",
        IF($AJ52=マスタ!$N$5, $BO$9,
              IF(OR($F52=マスタ!$C$3, $F52=マスタ!$C$4, $F52=マスタ!$C$5),
                    IF(SUM($AL52,$AM52,$AP52,$AQ52)&gt;=1, $BM$9, $BN$9),
              IF(OR($F52=マスタ!$C$6, $F52=マスタ!$C$7, $F52=マスタ!$C$8),
                    IF($AK52&lt;10, $BO$9,
                          IF(AND(SUM($AL52,$AM52,$AP52,$AQ52)&gt;=($AK52*0.2), $AM52+$AP52+$AQ52&gt;=1),
                               $BM$9,$BN$9))))))</f>
        <v/>
      </c>
      <c r="AS52" s="101" t="str">
        <f>IF(OR(SUMPRODUCT(--(AJ52:AQ52&lt;&gt;""))&lt;7,AND($AJ52=マスタ!$N$3,$AK52="")), "",
     IF($AR52=$BN$9,$BN$9,
        IF($AJ52=マスタ!$N$5, $BO$9,
             IF(OR($F52=マスタ!$C$3, $F52=マスタ!$C$4, $F52=マスタ!$C$5),
                   IF($AQ52&gt;=1, $BM$9, $BN$9),
             IF(OR($F52=マスタ!$C$6, $F52=マスタ!$C$7, $F52=マスタ!$C$8),
                   IF($AK52&lt;5, IF($AQ52&gt;=1, $BM$9, $BN$9),
                         IF(OR($AQ52&gt;=1,
                                    AND(SUM($AL52,$AM52,$AP52,$AQ52)&gt;=$AK52*0.5, ($AM52+$AP52+$AQ52)&gt;=($AK52*0.2))),
                              $BM$9,$BN$9)))))))</f>
        <v/>
      </c>
      <c r="AT52" s="66"/>
      <c r="AU52" s="143"/>
      <c r="AV52" s="98" t="str" cm="1">
        <f t="array" aca="1" ref="AV52" ca="1">IF(AND($F52:$G52&lt;&gt;"", $I52:$K52&lt;&gt;"",
                 IF(OR($M52=$BM$9,$O52=$BM$9), TRUE, $L52&lt;&gt;""),
                 $M52&lt;&gt;"",$O52&lt;&gt;"",
                 IF($T52=$BM$9, TRUE, $Q52:$R52&lt;&gt;""),
                 IF(AND($BL52&lt;&gt;"", $BL52&lt;&gt;マスタ!$C$5, $BL52&lt;&gt;マスタ!$C$8), TRUE, $T52&lt;&gt;""),
                 IF(OR(AND($T52=$BM$9,  $Y52=$BO$9), $Y52=$BM$9), TRUE,$W52&lt;&gt;""),
                 IF(AND($BL52&lt;&gt;"", $BL52&lt;&gt;マスタ!$C$5, $BL52&lt;&gt;マスタ!$C$8), TRUE, $Y52&lt;&gt;""),
                 $AA52&lt;&gt;"",
                 IF($AA52=マスタ!$F$4, TRUE, $AB52&lt;&gt;""),
                 $AG52:$AO52&lt;&gt;"", $AQ52&lt;&gt;"", $AT52&lt;&gt;""),
        "（正常）入力済み", IF($C52= "", "（複数入力）未入力", "（エラー）一部未入力"))</f>
        <v>（複数入力）未入力</v>
      </c>
      <c r="AW52" s="98" t="str">
        <f t="shared" ca="1" si="6"/>
        <v/>
      </c>
      <c r="AX52" s="98" t="str">
        <f t="shared" ca="1" si="22"/>
        <v/>
      </c>
      <c r="AY52" s="98" t="str">
        <f t="shared" ca="1" si="23"/>
        <v/>
      </c>
      <c r="AZ52" s="98" t="str">
        <f t="shared" ca="1" si="24"/>
        <v/>
      </c>
      <c r="BA52" s="98" t="str">
        <f t="shared" ca="1" si="25"/>
        <v/>
      </c>
      <c r="BB52" s="98" t="str">
        <f t="shared" ca="1" si="26"/>
        <v/>
      </c>
      <c r="BC52" s="98" t="str">
        <f t="shared" ca="1" si="27"/>
        <v/>
      </c>
      <c r="BD52" s="98" t="str">
        <f t="shared" ca="1" si="28"/>
        <v/>
      </c>
      <c r="BE52" s="98" t="str">
        <f>IF($BL52="","",
   IF($T52=入力不可用2,
      IF(OR($BL52=マスタ!$C$5,$BL52=マスタ!$C$8), "未入力", "（正常）規定値"),
      IF(OR($BL52=マスタ!$C$5,$BL52=マスタ!$C$8), "（正常）規定値", "（エラー）値入力不可")))</f>
        <v/>
      </c>
      <c r="BF52" s="98" t="str">
        <f ca="1">IF($C52 = "", "",
       IF(AND(OR($BL52=マスタ!$C$5, $BL52=マスタ!$C$8), $T52 = ""), "未入力",
            IF(AND($Y52 = $BM$9, $T52 = $BO$9), "（エラー）「適合」のみ入力可", "（正常）規定値")))</f>
        <v/>
      </c>
      <c r="BG52" s="98" t="str">
        <f t="shared" ca="1" si="29"/>
        <v/>
      </c>
      <c r="BH52" s="98" t="str">
        <f t="shared" ca="1" si="30"/>
        <v/>
      </c>
      <c r="BI52" s="98" t="str">
        <f>IF($BL52="","",
   IF($Y52=入力不可用2,
      IF(OR($BL52=マスタ!$C$5,$BL52=マスタ!$C$8), "未入力", "（正常）規定値"),
      IF(OR($BL52=マスタ!$C$5,$BL52=マスタ!$C$8), "（正常）規定値", "（エラー）値入力不可")))</f>
        <v/>
      </c>
      <c r="BJ52" s="98" t="str">
        <f>IF($AA52="", "",
        IF($AA52=マスタ!$F$3,
             IF($AB52="", "未入力", "（正常）規定値"),
                  IF($AA52=マスタ!$F$4,
                       IF($AB52&lt;&gt;入力不可用2, "（エラー）値入力不可", "（正常）規定値"))))</f>
        <v/>
      </c>
      <c r="BL52" s="75" t="str">
        <f>IF(OR($F52 = マスタ!$C$5, F52 = マスタ!$C$8), $F52,
        IF(AND($F52 = マスタ!$C$3, 'その１事業者基本情報_入力シート（一部非公開）'!$U$16), $F52,
             IF(AND($F52 = マスタ!$C$4, 'その１事業者基本情報_入力シート（一部非公開）'!$S$16), $F52,
                  IF(AND(OR($F52 = マスタ!$C$6, $F52 = マスタ!$C$7),
                                'その１事業者基本情報_入力シート（一部非公開）'!$W$16), $F52,
                       IF(OR($F52 = マスタ!$C$3, $F52=マスタ!$C$4), マスタ!$C$5,
                            IF(OR($F52 = マスタ!$C$6, $F52 = マスタ!$C$7), マスタ!$C$8, ""))))))</f>
        <v/>
      </c>
      <c r="BM52" s="75" t="str">
        <f>IF($L52&lt;&gt;"", $L52,
       IF($M52 = マスタ!$B$3,
          IF(OR($F52=マスタ!$C$3,$F52=マスタ!$C$4,$F52=マスタ!$C$5),
            IF(OR($G52 = マスタ!$D$54, $G52 = マスタ!$D$55), 0.75, 0.87),
            IF(OR($G52 = マスタ!$D$54, $G52 = マスタ!$D$55), 0.62, 0.72)),
                 IF(ISBLANK($L52), "", $L52)))</f>
        <v/>
      </c>
      <c r="BN52" s="99" t="str">
        <f>IF($L52&lt;&gt;"", $L52,
        IF($O52 = マスタ!$B$3,
          IF(OR($F52=マスタ!$C$3,$F52=マスタ!$C$4,$F52=マスタ!$C$5), 0.6, 0.5),
             IF(ISBLANK($L52), "", $L52)))</f>
        <v/>
      </c>
      <c r="BO52" s="99" t="str">
        <f>IF($T52&lt;&gt;マスタ!$B$3,
        IF(ISBLANK($S52),"",$S52),
             IF($BL52=マスタ!$C$3,0.8,
             IF($BL52=マスタ!$C$4,0.85,
             IF($BL52=マスタ!$C$6,0.9,
             IF($BL52=マスタ!$C$7,0.9,
             IF($BL52=マスタ!$C$5,1,
             IF($BL52=マスタ!$C$8,1,"無効な入力")))))))</f>
        <v/>
      </c>
      <c r="BP52" s="99" t="str">
        <f>IF($Y52&lt;&gt;マスタ!$B$3,
   IF(ISBLANK($X52), "", $X52),
   IF($BL52=マスタ!$C$3, 0.75,
      IF($BL52=マスタ!$C$4, 0.8,
         IF($BL52=マスタ!$C$6, 0.8,
            IF($BL52=マスタ!$C$7, 0.8,
               IF($BL52=マスタ!$C$5, 0.8,
                  IF($BL52=マスタ!$C$8, 0.8, "無効な入力")))))))</f>
        <v/>
      </c>
      <c r="BQ52" s="75"/>
      <c r="BR52" s="75"/>
      <c r="BS52" s="75"/>
      <c r="BT52" s="75"/>
      <c r="BU52" s="75"/>
      <c r="BV52" s="75"/>
      <c r="BW52" s="75"/>
      <c r="BX52" s="75"/>
      <c r="BY52" s="75"/>
    </row>
    <row r="53" spans="3:77" ht="30.75" customHeight="1">
      <c r="C53" s="69" t="str" cm="1">
        <f t="array" aca="1" ref="C53" ca="1">IF(SUMPRODUCT(--($D53:$AU53 &lt;&gt; "")),RIGHT(YEAR(TODAY()),2)&amp;"01"&amp;REPT("0",4-LEN(ROW()-11))&amp;ROW()-11,"")</f>
        <v/>
      </c>
      <c r="D53" s="141"/>
      <c r="E53" s="142"/>
      <c r="F53" s="71"/>
      <c r="G53" s="66"/>
      <c r="H53" s="41" t="str">
        <f>IFERROR(VLOOKUP(G53,マスタ!$D$3:$E$55,2,FALSE),"")</f>
        <v/>
      </c>
      <c r="I53" s="93"/>
      <c r="J53" s="77"/>
      <c r="K53" s="66"/>
      <c r="L53" s="103"/>
      <c r="M53" s="71"/>
      <c r="N53" s="101" t="str">
        <f>IF($M53 = $BM$9, $BM$9,
        IF($L53 = "", "",
              IF(OR(
                          AND(OR($G53 = マスタ!$D$54, $G53 = マスタ!$D$55), $L53 &lt;= $BP$9),
                          AND($G53 &lt;&gt; マスタ!$D$54, $G53 &lt;&gt; マスタ!$D$55, $L53 &lt;= $BQ$9)
                         ), $BM$9, $BN$9)))</f>
        <v/>
      </c>
      <c r="O53" s="71"/>
      <c r="P53" s="101" t="str">
        <f t="shared" si="21"/>
        <v/>
      </c>
      <c r="Q53" s="124"/>
      <c r="R53" s="124"/>
      <c r="S53" s="112" t="str">
        <f t="shared" si="19"/>
        <v/>
      </c>
      <c r="T53" s="71"/>
      <c r="U53" s="41" t="str">
        <f>IF($T53=$BM$9, $BM$9,
        IF($S53="", "",
             IF(OR(AND($BL53=マスタ!$C$3, $S53&lt;=$BS$9),
                        AND($BL53=マスタ!$C$4, $S53&lt;=$BT$9),
                        AND(OR($BL53=マスタ!$C$6, $BL53=マスタ!$C$7), $S53&lt;=$BU$9),
                        AND(OR($BL53=マスタ!$C$5, $BL53=マスタ!$C$8), $S53&lt;=$BV$9)),
                  $BM$9, $BN$9)))</f>
        <v/>
      </c>
      <c r="V53" s="129" t="str">
        <f t="shared" si="16"/>
        <v/>
      </c>
      <c r="W53" s="124"/>
      <c r="X53" s="112" t="str">
        <f t="shared" si="20"/>
        <v/>
      </c>
      <c r="Y53" s="71"/>
      <c r="Z53" s="41" t="str">
        <f>IF($Y53=$BM$9, $BM$9,
        IF(AND($T53 = $BM$9, $Y53 = $BO$9), $BN$9,
             IF($BL53=マスタ!$C$3,
                  IF($X53&lt;=$BW$9, $BM$9,$BN$9),
                       IF(OR($BL53=マスタ!$C$4, $BL53=マスタ!$C$5, $BL53=マスタ!$C$6, $BL53=マスタ!$C$7, $BL53=マスタ!$C$8),
                            IF($X53&lt;=$BX$9, $BM$9,$BN$9), ""))))</f>
        <v/>
      </c>
      <c r="AA53" s="71"/>
      <c r="AB53" s="71"/>
      <c r="AC53" s="71"/>
      <c r="AD53" s="165"/>
      <c r="AE53" s="71"/>
      <c r="AF53" s="165"/>
      <c r="AG53" s="92"/>
      <c r="AH53" s="92"/>
      <c r="AI53" s="92"/>
      <c r="AJ53" s="92"/>
      <c r="AK53" s="121"/>
      <c r="AL53" s="121"/>
      <c r="AM53" s="121"/>
      <c r="AN53" s="121"/>
      <c r="AO53" s="92"/>
      <c r="AP53" s="130" t="str">
        <f t="shared" si="5"/>
        <v/>
      </c>
      <c r="AQ53" s="121"/>
      <c r="AR53" s="101" t="str">
        <f>IF(OR(SUMPRODUCT(--(AJ53:AQ53&lt;&gt;""))&lt;7,AND($AJ53=マスタ!$N$3,$AK53="")), "",
        IF($AJ53=マスタ!$N$5, $BO$9,
              IF(OR($F53=マスタ!$C$3, $F53=マスタ!$C$4, $F53=マスタ!$C$5),
                    IF(SUM($AL53,$AM53,$AP53,$AQ53)&gt;=1, $BM$9, $BN$9),
              IF(OR($F53=マスタ!$C$6, $F53=マスタ!$C$7, $F53=マスタ!$C$8),
                    IF($AK53&lt;10, $BO$9,
                          IF(AND(SUM($AL53,$AM53,$AP53,$AQ53)&gt;=($AK53*0.2), $AM53+$AP53+$AQ53&gt;=1),
                               $BM$9,$BN$9))))))</f>
        <v/>
      </c>
      <c r="AS53" s="101" t="str">
        <f>IF(OR(SUMPRODUCT(--(AJ53:AQ53&lt;&gt;""))&lt;7,AND($AJ53=マスタ!$N$3,$AK53="")), "",
     IF($AR53=$BN$9,$BN$9,
        IF($AJ53=マスタ!$N$5, $BO$9,
             IF(OR($F53=マスタ!$C$3, $F53=マスタ!$C$4, $F53=マスタ!$C$5),
                   IF($AQ53&gt;=1, $BM$9, $BN$9),
             IF(OR($F53=マスタ!$C$6, $F53=マスタ!$C$7, $F53=マスタ!$C$8),
                   IF($AK53&lt;5, IF($AQ53&gt;=1, $BM$9, $BN$9),
                         IF(OR($AQ53&gt;=1,
                                    AND(SUM($AL53,$AM53,$AP53,$AQ53)&gt;=$AK53*0.5, ($AM53+$AP53+$AQ53)&gt;=($AK53*0.2))),
                              $BM$9,$BN$9)))))))</f>
        <v/>
      </c>
      <c r="AT53" s="66"/>
      <c r="AU53" s="143"/>
      <c r="AV53" s="98" t="str" cm="1">
        <f t="array" aca="1" ref="AV53" ca="1">IF(AND($F53:$G53&lt;&gt;"", $I53:$K53&lt;&gt;"",
                 IF(OR($M53=$BM$9,$O53=$BM$9), TRUE, $L53&lt;&gt;""),
                 $M53&lt;&gt;"",$O53&lt;&gt;"",
                 IF($T53=$BM$9, TRUE, $Q53:$R53&lt;&gt;""),
                 IF(AND($BL53&lt;&gt;"", $BL53&lt;&gt;マスタ!$C$5, $BL53&lt;&gt;マスタ!$C$8), TRUE, $T53&lt;&gt;""),
                 IF(OR(AND($T53=$BM$9,  $Y53=$BO$9), $Y53=$BM$9), TRUE,$W53&lt;&gt;""),
                 IF(AND($BL53&lt;&gt;"", $BL53&lt;&gt;マスタ!$C$5, $BL53&lt;&gt;マスタ!$C$8), TRUE, $Y53&lt;&gt;""),
                 $AA53&lt;&gt;"",
                 IF($AA53=マスタ!$F$4, TRUE, $AB53&lt;&gt;""),
                 $AG53:$AO53&lt;&gt;"", $AQ53&lt;&gt;"", $AT53&lt;&gt;""),
        "（正常）入力済み", IF($C53= "", "（複数入力）未入力", "（エラー）一部未入力"))</f>
        <v>（複数入力）未入力</v>
      </c>
      <c r="AW53" s="98" t="str">
        <f t="shared" ca="1" si="6"/>
        <v/>
      </c>
      <c r="AX53" s="98" t="str">
        <f t="shared" ca="1" si="22"/>
        <v/>
      </c>
      <c r="AY53" s="98" t="str">
        <f t="shared" ca="1" si="23"/>
        <v/>
      </c>
      <c r="AZ53" s="98" t="str">
        <f t="shared" ca="1" si="24"/>
        <v/>
      </c>
      <c r="BA53" s="98" t="str">
        <f t="shared" ca="1" si="25"/>
        <v/>
      </c>
      <c r="BB53" s="98" t="str">
        <f t="shared" ca="1" si="26"/>
        <v/>
      </c>
      <c r="BC53" s="98" t="str">
        <f t="shared" ca="1" si="27"/>
        <v/>
      </c>
      <c r="BD53" s="98" t="str">
        <f t="shared" ca="1" si="28"/>
        <v/>
      </c>
      <c r="BE53" s="98" t="str">
        <f>IF($BL53="","",
   IF($T53=入力不可用2,
      IF(OR($BL53=マスタ!$C$5,$BL53=マスタ!$C$8), "未入力", "（正常）規定値"),
      IF(OR($BL53=マスタ!$C$5,$BL53=マスタ!$C$8), "（正常）規定値", "（エラー）値入力不可")))</f>
        <v/>
      </c>
      <c r="BF53" s="98" t="str">
        <f ca="1">IF($C53 = "", "",
       IF(AND(OR($BL53=マスタ!$C$5, $BL53=マスタ!$C$8), $T53 = ""), "未入力",
            IF(AND($Y53 = $BM$9, $T53 = $BO$9), "（エラー）「適合」のみ入力可", "（正常）規定値")))</f>
        <v/>
      </c>
      <c r="BG53" s="98" t="str">
        <f t="shared" ca="1" si="29"/>
        <v/>
      </c>
      <c r="BH53" s="98" t="str">
        <f t="shared" ca="1" si="30"/>
        <v/>
      </c>
      <c r="BI53" s="98" t="str">
        <f>IF($BL53="","",
   IF($Y53=入力不可用2,
      IF(OR($BL53=マスタ!$C$5,$BL53=マスタ!$C$8), "未入力", "（正常）規定値"),
      IF(OR($BL53=マスタ!$C$5,$BL53=マスタ!$C$8), "（正常）規定値", "（エラー）値入力不可")))</f>
        <v/>
      </c>
      <c r="BJ53" s="98" t="str">
        <f>IF($AA53="", "",
        IF($AA53=マスタ!$F$3,
             IF($AB53="", "未入力", "（正常）規定値"),
                  IF($AA53=マスタ!$F$4,
                       IF($AB53&lt;&gt;入力不可用2, "（エラー）値入力不可", "（正常）規定値"))))</f>
        <v/>
      </c>
      <c r="BL53" s="75" t="str">
        <f>IF(OR($F53 = マスタ!$C$5, F53 = マスタ!$C$8), $F53,
        IF(AND($F53 = マスタ!$C$3, 'その１事業者基本情報_入力シート（一部非公開）'!$U$16), $F53,
             IF(AND($F53 = マスタ!$C$4, 'その１事業者基本情報_入力シート（一部非公開）'!$S$16), $F53,
                  IF(AND(OR($F53 = マスタ!$C$6, $F53 = マスタ!$C$7),
                                'その１事業者基本情報_入力シート（一部非公開）'!$W$16), $F53,
                       IF(OR($F53 = マスタ!$C$3, $F53=マスタ!$C$4), マスタ!$C$5,
                            IF(OR($F53 = マスタ!$C$6, $F53 = マスタ!$C$7), マスタ!$C$8, ""))))))</f>
        <v/>
      </c>
      <c r="BM53" s="75" t="str">
        <f>IF($L53&lt;&gt;"", $L53,
       IF($M53 = マスタ!$B$3,
          IF(OR($F53=マスタ!$C$3,$F53=マスタ!$C$4,$F53=マスタ!$C$5),
            IF(OR($G53 = マスタ!$D$54, $G53 = マスタ!$D$55), 0.75, 0.87),
            IF(OR($G53 = マスタ!$D$54, $G53 = マスタ!$D$55), 0.62, 0.72)),
                 IF(ISBLANK($L53), "", $L53)))</f>
        <v/>
      </c>
      <c r="BN53" s="99" t="str">
        <f>IF($L53&lt;&gt;"", $L53,
        IF($O53 = マスタ!$B$3,
          IF(OR($F53=マスタ!$C$3,$F53=マスタ!$C$4,$F53=マスタ!$C$5), 0.6, 0.5),
             IF(ISBLANK($L53), "", $L53)))</f>
        <v/>
      </c>
      <c r="BO53" s="99" t="str">
        <f>IF($T53&lt;&gt;マスタ!$B$3,
        IF(ISBLANK($S53),"",$S53),
             IF($BL53=マスタ!$C$3,0.8,
             IF($BL53=マスタ!$C$4,0.85,
             IF($BL53=マスタ!$C$6,0.9,
             IF($BL53=マスタ!$C$7,0.9,
             IF($BL53=マスタ!$C$5,1,
             IF($BL53=マスタ!$C$8,1,"無効な入力")))))))</f>
        <v/>
      </c>
      <c r="BP53" s="99" t="str">
        <f>IF($Y53&lt;&gt;マスタ!$B$3,
   IF(ISBLANK($X53), "", $X53),
   IF($BL53=マスタ!$C$3, 0.75,
      IF($BL53=マスタ!$C$4, 0.8,
         IF($BL53=マスタ!$C$6, 0.8,
            IF($BL53=マスタ!$C$7, 0.8,
               IF($BL53=マスタ!$C$5, 0.8,
                  IF($BL53=マスタ!$C$8, 0.8, "無効な入力")))))))</f>
        <v/>
      </c>
      <c r="BQ53" s="75"/>
      <c r="BR53" s="75"/>
      <c r="BS53" s="75"/>
      <c r="BT53" s="75"/>
      <c r="BU53" s="75"/>
      <c r="BV53" s="75"/>
      <c r="BW53" s="75"/>
      <c r="BX53" s="75"/>
      <c r="BY53" s="75"/>
    </row>
    <row r="54" spans="3:77" ht="30.75" customHeight="1">
      <c r="C54" s="69" t="str" cm="1">
        <f t="array" aca="1" ref="C54" ca="1">IF(SUMPRODUCT(--($D54:$AU54 &lt;&gt; "")),RIGHT(YEAR(TODAY()),2)&amp;"01"&amp;REPT("0",4-LEN(ROW()-11))&amp;ROW()-11,"")</f>
        <v/>
      </c>
      <c r="D54" s="141"/>
      <c r="E54" s="142"/>
      <c r="F54" s="71"/>
      <c r="G54" s="66"/>
      <c r="H54" s="41" t="str">
        <f>IFERROR(VLOOKUP(G54,マスタ!$D$3:$E$55,2,FALSE),"")</f>
        <v/>
      </c>
      <c r="I54" s="93"/>
      <c r="J54" s="77"/>
      <c r="K54" s="66"/>
      <c r="L54" s="103"/>
      <c r="M54" s="71"/>
      <c r="N54" s="101" t="str">
        <f>IF($M54 = $BM$9, $BM$9,
        IF($L54 = "", "",
              IF(OR(
                          AND(OR($G54 = マスタ!$D$54, $G54 = マスタ!$D$55), $L54 &lt;= $BP$9),
                          AND($G54 &lt;&gt; マスタ!$D$54, $G54 &lt;&gt; マスタ!$D$55, $L54 &lt;= $BQ$9)
                         ), $BM$9, $BN$9)))</f>
        <v/>
      </c>
      <c r="O54" s="71"/>
      <c r="P54" s="101" t="str">
        <f t="shared" si="21"/>
        <v/>
      </c>
      <c r="Q54" s="124"/>
      <c r="R54" s="124"/>
      <c r="S54" s="112" t="str">
        <f t="shared" si="19"/>
        <v/>
      </c>
      <c r="T54" s="71"/>
      <c r="U54" s="41" t="str">
        <f>IF($T54=$BM$9, $BM$9,
        IF($S54="", "",
             IF(OR(AND($BL54=マスタ!$C$3, $S54&lt;=$BS$9),
                        AND($BL54=マスタ!$C$4, $S54&lt;=$BT$9),
                        AND(OR($BL54=マスタ!$C$6, $BL54=マスタ!$C$7), $S54&lt;=$BU$9),
                        AND(OR($BL54=マスタ!$C$5, $BL54=マスタ!$C$8), $S54&lt;=$BV$9)),
                  $BM$9, $BN$9)))</f>
        <v/>
      </c>
      <c r="V54" s="129" t="str">
        <f t="shared" si="16"/>
        <v/>
      </c>
      <c r="W54" s="124"/>
      <c r="X54" s="112" t="str">
        <f t="shared" si="20"/>
        <v/>
      </c>
      <c r="Y54" s="71"/>
      <c r="Z54" s="41" t="str">
        <f>IF($Y54=$BM$9, $BM$9,
        IF(AND($T54 = $BM$9, $Y54 = $BO$9), $BN$9,
             IF($BL54=マスタ!$C$3,
                  IF($X54&lt;=$BW$9, $BM$9,$BN$9),
                       IF(OR($BL54=マスタ!$C$4, $BL54=マスタ!$C$5, $BL54=マスタ!$C$6, $BL54=マスタ!$C$7, $BL54=マスタ!$C$8),
                            IF($X54&lt;=$BX$9, $BM$9,$BN$9), ""))))</f>
        <v/>
      </c>
      <c r="AA54" s="71"/>
      <c r="AB54" s="71"/>
      <c r="AC54" s="71"/>
      <c r="AD54" s="165"/>
      <c r="AE54" s="71"/>
      <c r="AF54" s="165"/>
      <c r="AG54" s="92"/>
      <c r="AH54" s="92"/>
      <c r="AI54" s="92"/>
      <c r="AJ54" s="92"/>
      <c r="AK54" s="121"/>
      <c r="AL54" s="121"/>
      <c r="AM54" s="121"/>
      <c r="AN54" s="121"/>
      <c r="AO54" s="92"/>
      <c r="AP54" s="130" t="str">
        <f t="shared" si="5"/>
        <v/>
      </c>
      <c r="AQ54" s="121"/>
      <c r="AR54" s="101" t="str">
        <f>IF(OR(SUMPRODUCT(--(AJ54:AQ54&lt;&gt;""))&lt;7,AND($AJ54=マスタ!$N$3,$AK54="")), "",
        IF($AJ54=マスタ!$N$5, $BO$9,
              IF(OR($F54=マスタ!$C$3, $F54=マスタ!$C$4, $F54=マスタ!$C$5),
                    IF(SUM($AL54,$AM54,$AP54,$AQ54)&gt;=1, $BM$9, $BN$9),
              IF(OR($F54=マスタ!$C$6, $F54=マスタ!$C$7, $F54=マスタ!$C$8),
                    IF($AK54&lt;10, $BO$9,
                          IF(AND(SUM($AL54,$AM54,$AP54,$AQ54)&gt;=($AK54*0.2), $AM54+$AP54+$AQ54&gt;=1),
                               $BM$9,$BN$9))))))</f>
        <v/>
      </c>
      <c r="AS54" s="101" t="str">
        <f>IF(OR(SUMPRODUCT(--(AJ54:AQ54&lt;&gt;""))&lt;7,AND($AJ54=マスタ!$N$3,$AK54="")), "",
     IF($AR54=$BN$9,$BN$9,
        IF($AJ54=マスタ!$N$5, $BO$9,
             IF(OR($F54=マスタ!$C$3, $F54=マスタ!$C$4, $F54=マスタ!$C$5),
                   IF($AQ54&gt;=1, $BM$9, $BN$9),
             IF(OR($F54=マスタ!$C$6, $F54=マスタ!$C$7, $F54=マスタ!$C$8),
                   IF($AK54&lt;5, IF($AQ54&gt;=1, $BM$9, $BN$9),
                         IF(OR($AQ54&gt;=1,
                                    AND(SUM($AL54,$AM54,$AP54,$AQ54)&gt;=$AK54*0.5, ($AM54+$AP54+$AQ54)&gt;=($AK54*0.2))),
                              $BM$9,$BN$9)))))))</f>
        <v/>
      </c>
      <c r="AT54" s="66"/>
      <c r="AU54" s="143"/>
      <c r="AV54" s="98" t="str" cm="1">
        <f t="array" aca="1" ref="AV54" ca="1">IF(AND($F54:$G54&lt;&gt;"", $I54:$K54&lt;&gt;"",
                 IF(OR($M54=$BM$9,$O54=$BM$9), TRUE, $L54&lt;&gt;""),
                 $M54&lt;&gt;"",$O54&lt;&gt;"",
                 IF($T54=$BM$9, TRUE, $Q54:$R54&lt;&gt;""),
                 IF(AND($BL54&lt;&gt;"", $BL54&lt;&gt;マスタ!$C$5, $BL54&lt;&gt;マスタ!$C$8), TRUE, $T54&lt;&gt;""),
                 IF(OR(AND($T54=$BM$9,  $Y54=$BO$9), $Y54=$BM$9), TRUE,$W54&lt;&gt;""),
                 IF(AND($BL54&lt;&gt;"", $BL54&lt;&gt;マスタ!$C$5, $BL54&lt;&gt;マスタ!$C$8), TRUE, $Y54&lt;&gt;""),
                 $AA54&lt;&gt;"",
                 IF($AA54=マスタ!$F$4, TRUE, $AB54&lt;&gt;""),
                 $AG54:$AO54&lt;&gt;"", $AQ54&lt;&gt;"", $AT54&lt;&gt;""),
        "（正常）入力済み", IF($C54= "", "（複数入力）未入力", "（エラー）一部未入力"))</f>
        <v>（複数入力）未入力</v>
      </c>
      <c r="AW54" s="98" t="str">
        <f t="shared" ca="1" si="6"/>
        <v/>
      </c>
      <c r="AX54" s="98" t="str">
        <f t="shared" ca="1" si="22"/>
        <v/>
      </c>
      <c r="AY54" s="98" t="str">
        <f t="shared" ca="1" si="23"/>
        <v/>
      </c>
      <c r="AZ54" s="98" t="str">
        <f t="shared" ca="1" si="24"/>
        <v/>
      </c>
      <c r="BA54" s="98" t="str">
        <f t="shared" ca="1" si="25"/>
        <v/>
      </c>
      <c r="BB54" s="98" t="str">
        <f t="shared" ca="1" si="26"/>
        <v/>
      </c>
      <c r="BC54" s="98" t="str">
        <f t="shared" ca="1" si="27"/>
        <v/>
      </c>
      <c r="BD54" s="98" t="str">
        <f t="shared" ca="1" si="28"/>
        <v/>
      </c>
      <c r="BE54" s="98" t="str">
        <f>IF($BL54="","",
   IF($T54=入力不可用2,
      IF(OR($BL54=マスタ!$C$5,$BL54=マスタ!$C$8), "未入力", "（正常）規定値"),
      IF(OR($BL54=マスタ!$C$5,$BL54=マスタ!$C$8), "（正常）規定値", "（エラー）値入力不可")))</f>
        <v/>
      </c>
      <c r="BF54" s="98" t="str">
        <f ca="1">IF($C54 = "", "",
       IF(AND(OR($BL54=マスタ!$C$5, $BL54=マスタ!$C$8), $T54 = ""), "未入力",
            IF(AND($Y54 = $BM$9, $T54 = $BO$9), "（エラー）「適合」のみ入力可", "（正常）規定値")))</f>
        <v/>
      </c>
      <c r="BG54" s="98" t="str">
        <f t="shared" ca="1" si="29"/>
        <v/>
      </c>
      <c r="BH54" s="98" t="str">
        <f t="shared" ca="1" si="30"/>
        <v/>
      </c>
      <c r="BI54" s="98" t="str">
        <f>IF($BL54="","",
   IF($Y54=入力不可用2,
      IF(OR($BL54=マスタ!$C$5,$BL54=マスタ!$C$8), "未入力", "（正常）規定値"),
      IF(OR($BL54=マスタ!$C$5,$BL54=マスタ!$C$8), "（正常）規定値", "（エラー）値入力不可")))</f>
        <v/>
      </c>
      <c r="BJ54" s="98" t="str">
        <f>IF($AA54="", "",
        IF($AA54=マスタ!$F$3,
             IF($AB54="", "未入力", "（正常）規定値"),
                  IF($AA54=マスタ!$F$4,
                       IF($AB54&lt;&gt;入力不可用2, "（エラー）値入力不可", "（正常）規定値"))))</f>
        <v/>
      </c>
      <c r="BL54" s="75" t="str">
        <f>IF(OR($F54 = マスタ!$C$5, F54 = マスタ!$C$8), $F54,
        IF(AND($F54 = マスタ!$C$3, 'その１事業者基本情報_入力シート（一部非公開）'!$U$16), $F54,
             IF(AND($F54 = マスタ!$C$4, 'その１事業者基本情報_入力シート（一部非公開）'!$S$16), $F54,
                  IF(AND(OR($F54 = マスタ!$C$6, $F54 = マスタ!$C$7),
                                'その１事業者基本情報_入力シート（一部非公開）'!$W$16), $F54,
                       IF(OR($F54 = マスタ!$C$3, $F54=マスタ!$C$4), マスタ!$C$5,
                            IF(OR($F54 = マスタ!$C$6, $F54 = マスタ!$C$7), マスタ!$C$8, ""))))))</f>
        <v/>
      </c>
      <c r="BM54" s="75" t="str">
        <f>IF($L54&lt;&gt;"", $L54,
       IF($M54 = マスタ!$B$3,
          IF(OR($F54=マスタ!$C$3,$F54=マスタ!$C$4,$F54=マスタ!$C$5),
            IF(OR($G54 = マスタ!$D$54, $G54 = マスタ!$D$55), 0.75, 0.87),
            IF(OR($G54 = マスタ!$D$54, $G54 = マスタ!$D$55), 0.62, 0.72)),
                 IF(ISBLANK($L54), "", $L54)))</f>
        <v/>
      </c>
      <c r="BN54" s="99" t="str">
        <f>IF($L54&lt;&gt;"", $L54,
        IF($O54 = マスタ!$B$3,
          IF(OR($F54=マスタ!$C$3,$F54=マスタ!$C$4,$F54=マスタ!$C$5), 0.6, 0.5),
             IF(ISBLANK($L54), "", $L54)))</f>
        <v/>
      </c>
      <c r="BO54" s="99" t="str">
        <f>IF($T54&lt;&gt;マスタ!$B$3,
        IF(ISBLANK($S54),"",$S54),
             IF($BL54=マスタ!$C$3,0.8,
             IF($BL54=マスタ!$C$4,0.85,
             IF($BL54=マスタ!$C$6,0.9,
             IF($BL54=マスタ!$C$7,0.9,
             IF($BL54=マスタ!$C$5,1,
             IF($BL54=マスタ!$C$8,1,"無効な入力")))))))</f>
        <v/>
      </c>
      <c r="BP54" s="99" t="str">
        <f>IF($Y54&lt;&gt;マスタ!$B$3,
   IF(ISBLANK($X54), "", $X54),
   IF($BL54=マスタ!$C$3, 0.75,
      IF($BL54=マスタ!$C$4, 0.8,
         IF($BL54=マスタ!$C$6, 0.8,
            IF($BL54=マスタ!$C$7, 0.8,
               IF($BL54=マスタ!$C$5, 0.8,
                  IF($BL54=マスタ!$C$8, 0.8, "無効な入力")))))))</f>
        <v/>
      </c>
      <c r="BQ54" s="75"/>
      <c r="BR54" s="75"/>
      <c r="BS54" s="75"/>
      <c r="BT54" s="75"/>
      <c r="BU54" s="75"/>
      <c r="BV54" s="75"/>
      <c r="BW54" s="75"/>
      <c r="BX54" s="75"/>
      <c r="BY54" s="75"/>
    </row>
    <row r="55" spans="3:77" ht="30.75" customHeight="1">
      <c r="C55" s="69" t="str" cm="1">
        <f t="array" aca="1" ref="C55" ca="1">IF(SUMPRODUCT(--($D55:$AU55 &lt;&gt; "")),RIGHT(YEAR(TODAY()),2)&amp;"01"&amp;REPT("0",4-LEN(ROW()-11))&amp;ROW()-11,"")</f>
        <v/>
      </c>
      <c r="D55" s="141"/>
      <c r="E55" s="142"/>
      <c r="F55" s="71"/>
      <c r="G55" s="66"/>
      <c r="H55" s="41" t="str">
        <f>IFERROR(VLOOKUP(G55,マスタ!$D$3:$E$55,2,FALSE),"")</f>
        <v/>
      </c>
      <c r="I55" s="93"/>
      <c r="J55" s="77"/>
      <c r="K55" s="66"/>
      <c r="L55" s="103"/>
      <c r="M55" s="71"/>
      <c r="N55" s="101" t="str">
        <f>IF($M55 = $BM$9, $BM$9,
        IF($L55 = "", "",
              IF(OR(
                          AND(OR($G55 = マスタ!$D$54, $G55 = マスタ!$D$55), $L55 &lt;= $BP$9),
                          AND($G55 &lt;&gt; マスタ!$D$54, $G55 &lt;&gt; マスタ!$D$55, $L55 &lt;= $BQ$9)
                         ), $BM$9, $BN$9)))</f>
        <v/>
      </c>
      <c r="O55" s="71"/>
      <c r="P55" s="101" t="str">
        <f t="shared" si="21"/>
        <v/>
      </c>
      <c r="Q55" s="124"/>
      <c r="R55" s="124"/>
      <c r="S55" s="112" t="str">
        <f t="shared" si="19"/>
        <v/>
      </c>
      <c r="T55" s="71"/>
      <c r="U55" s="41" t="str">
        <f>IF($T55=$BM$9, $BM$9,
        IF($S55="", "",
             IF(OR(AND($BL55=マスタ!$C$3, $S55&lt;=$BS$9),
                        AND($BL55=マスタ!$C$4, $S55&lt;=$BT$9),
                        AND(OR($BL55=マスタ!$C$6, $BL55=マスタ!$C$7), $S55&lt;=$BU$9),
                        AND(OR($BL55=マスタ!$C$5, $BL55=マスタ!$C$8), $S55&lt;=$BV$9)),
                  $BM$9, $BN$9)))</f>
        <v/>
      </c>
      <c r="V55" s="129" t="str">
        <f t="shared" si="16"/>
        <v/>
      </c>
      <c r="W55" s="124"/>
      <c r="X55" s="112" t="str">
        <f t="shared" si="20"/>
        <v/>
      </c>
      <c r="Y55" s="71"/>
      <c r="Z55" s="41" t="str">
        <f>IF($Y55=$BM$9, $BM$9,
        IF(AND($T55 = $BM$9, $Y55 = $BO$9), $BN$9,
             IF($BL55=マスタ!$C$3,
                  IF($X55&lt;=$BW$9, $BM$9,$BN$9),
                       IF(OR($BL55=マスタ!$C$4, $BL55=マスタ!$C$5, $BL55=マスタ!$C$6, $BL55=マスタ!$C$7, $BL55=マスタ!$C$8),
                            IF($X55&lt;=$BX$9, $BM$9,$BN$9), ""))))</f>
        <v/>
      </c>
      <c r="AA55" s="71"/>
      <c r="AB55" s="71"/>
      <c r="AC55" s="71"/>
      <c r="AD55" s="165"/>
      <c r="AE55" s="71"/>
      <c r="AF55" s="165"/>
      <c r="AG55" s="92"/>
      <c r="AH55" s="92"/>
      <c r="AI55" s="92"/>
      <c r="AJ55" s="92"/>
      <c r="AK55" s="121"/>
      <c r="AL55" s="121"/>
      <c r="AM55" s="121"/>
      <c r="AN55" s="121"/>
      <c r="AO55" s="92"/>
      <c r="AP55" s="130" t="str">
        <f t="shared" si="5"/>
        <v/>
      </c>
      <c r="AQ55" s="121"/>
      <c r="AR55" s="101" t="str">
        <f>IF(OR(SUMPRODUCT(--(AJ55:AQ55&lt;&gt;""))&lt;7,AND($AJ55=マスタ!$N$3,$AK55="")), "",
        IF($AJ55=マスタ!$N$5, $BO$9,
              IF(OR($F55=マスタ!$C$3, $F55=マスタ!$C$4, $F55=マスタ!$C$5),
                    IF(SUM($AL55,$AM55,$AP55,$AQ55)&gt;=1, $BM$9, $BN$9),
              IF(OR($F55=マスタ!$C$6, $F55=マスタ!$C$7, $F55=マスタ!$C$8),
                    IF($AK55&lt;10, $BO$9,
                          IF(AND(SUM($AL55,$AM55,$AP55,$AQ55)&gt;=($AK55*0.2), $AM55+$AP55+$AQ55&gt;=1),
                               $BM$9,$BN$9))))))</f>
        <v/>
      </c>
      <c r="AS55" s="101" t="str">
        <f>IF(OR(SUMPRODUCT(--(AJ55:AQ55&lt;&gt;""))&lt;7,AND($AJ55=マスタ!$N$3,$AK55="")), "",
     IF($AR55=$BN$9,$BN$9,
        IF($AJ55=マスタ!$N$5, $BO$9,
             IF(OR($F55=マスタ!$C$3, $F55=マスタ!$C$4, $F55=マスタ!$C$5),
                   IF($AQ55&gt;=1, $BM$9, $BN$9),
             IF(OR($F55=マスタ!$C$6, $F55=マスタ!$C$7, $F55=マスタ!$C$8),
                   IF($AK55&lt;5, IF($AQ55&gt;=1, $BM$9, $BN$9),
                         IF(OR($AQ55&gt;=1,
                                    AND(SUM($AL55,$AM55,$AP55,$AQ55)&gt;=$AK55*0.5, ($AM55+$AP55+$AQ55)&gt;=($AK55*0.2))),
                              $BM$9,$BN$9)))))))</f>
        <v/>
      </c>
      <c r="AT55" s="66"/>
      <c r="AU55" s="143"/>
      <c r="AV55" s="98" t="str" cm="1">
        <f t="array" aca="1" ref="AV55" ca="1">IF(AND($F55:$G55&lt;&gt;"", $I55:$K55&lt;&gt;"",
                 IF(OR($M55=$BM$9,$O55=$BM$9), TRUE, $L55&lt;&gt;""),
                 $M55&lt;&gt;"",$O55&lt;&gt;"",
                 IF($T55=$BM$9, TRUE, $Q55:$R55&lt;&gt;""),
                 IF(AND($BL55&lt;&gt;"", $BL55&lt;&gt;マスタ!$C$5, $BL55&lt;&gt;マスタ!$C$8), TRUE, $T55&lt;&gt;""),
                 IF(OR(AND($T55=$BM$9,  $Y55=$BO$9), $Y55=$BM$9), TRUE,$W55&lt;&gt;""),
                 IF(AND($BL55&lt;&gt;"", $BL55&lt;&gt;マスタ!$C$5, $BL55&lt;&gt;マスタ!$C$8), TRUE, $Y55&lt;&gt;""),
                 $AA55&lt;&gt;"",
                 IF($AA55=マスタ!$F$4, TRUE, $AB55&lt;&gt;""),
                 $AG55:$AO55&lt;&gt;"", $AQ55&lt;&gt;"", $AT55&lt;&gt;""),
        "（正常）入力済み", IF($C55= "", "（複数入力）未入力", "（エラー）一部未入力"))</f>
        <v>（複数入力）未入力</v>
      </c>
      <c r="AW55" s="98" t="str">
        <f t="shared" ca="1" si="6"/>
        <v/>
      </c>
      <c r="AX55" s="98" t="str">
        <f t="shared" ca="1" si="22"/>
        <v/>
      </c>
      <c r="AY55" s="98" t="str">
        <f t="shared" ca="1" si="23"/>
        <v/>
      </c>
      <c r="AZ55" s="98" t="str">
        <f t="shared" ca="1" si="24"/>
        <v/>
      </c>
      <c r="BA55" s="98" t="str">
        <f t="shared" ca="1" si="25"/>
        <v/>
      </c>
      <c r="BB55" s="98" t="str">
        <f t="shared" ca="1" si="26"/>
        <v/>
      </c>
      <c r="BC55" s="98" t="str">
        <f t="shared" ca="1" si="27"/>
        <v/>
      </c>
      <c r="BD55" s="98" t="str">
        <f t="shared" ca="1" si="28"/>
        <v/>
      </c>
      <c r="BE55" s="98" t="str">
        <f>IF($BL55="","",
   IF($T55=入力不可用2,
      IF(OR($BL55=マスタ!$C$5,$BL55=マスタ!$C$8), "未入力", "（正常）規定値"),
      IF(OR($BL55=マスタ!$C$5,$BL55=マスタ!$C$8), "（正常）規定値", "（エラー）値入力不可")))</f>
        <v/>
      </c>
      <c r="BF55" s="98" t="str">
        <f ca="1">IF($C55 = "", "",
       IF(AND(OR($BL55=マスタ!$C$5, $BL55=マスタ!$C$8), $T55 = ""), "未入力",
            IF(AND($Y55 = $BM$9, $T55 = $BO$9), "（エラー）「適合」のみ入力可", "（正常）規定値")))</f>
        <v/>
      </c>
      <c r="BG55" s="98" t="str">
        <f t="shared" ca="1" si="29"/>
        <v/>
      </c>
      <c r="BH55" s="98" t="str">
        <f t="shared" ca="1" si="30"/>
        <v/>
      </c>
      <c r="BI55" s="98" t="str">
        <f>IF($BL55="","",
   IF($Y55=入力不可用2,
      IF(OR($BL55=マスタ!$C$5,$BL55=マスタ!$C$8), "未入力", "（正常）規定値"),
      IF(OR($BL55=マスタ!$C$5,$BL55=マスタ!$C$8), "（正常）規定値", "（エラー）値入力不可")))</f>
        <v/>
      </c>
      <c r="BJ55" s="98" t="str">
        <f>IF($AA55="", "",
        IF($AA55=マスタ!$F$3,
             IF($AB55="", "未入力", "（正常）規定値"),
                  IF($AA55=マスタ!$F$4,
                       IF($AB55&lt;&gt;入力不可用2, "（エラー）値入力不可", "（正常）規定値"))))</f>
        <v/>
      </c>
      <c r="BL55" s="75" t="str">
        <f>IF(OR($F55 = マスタ!$C$5, F55 = マスタ!$C$8), $F55,
        IF(AND($F55 = マスタ!$C$3, 'その１事業者基本情報_入力シート（一部非公開）'!$U$16), $F55,
             IF(AND($F55 = マスタ!$C$4, 'その１事業者基本情報_入力シート（一部非公開）'!$S$16), $F55,
                  IF(AND(OR($F55 = マスタ!$C$6, $F55 = マスタ!$C$7),
                                'その１事業者基本情報_入力シート（一部非公開）'!$W$16), $F55,
                       IF(OR($F55 = マスタ!$C$3, $F55=マスタ!$C$4), マスタ!$C$5,
                            IF(OR($F55 = マスタ!$C$6, $F55 = マスタ!$C$7), マスタ!$C$8, ""))))))</f>
        <v/>
      </c>
      <c r="BM55" s="75" t="str">
        <f>IF($L55&lt;&gt;"", $L55,
       IF($M55 = マスタ!$B$3,
          IF(OR($F55=マスタ!$C$3,$F55=マスタ!$C$4,$F55=マスタ!$C$5),
            IF(OR($G55 = マスタ!$D$54, $G55 = マスタ!$D$55), 0.75, 0.87),
            IF(OR($G55 = マスタ!$D$54, $G55 = マスタ!$D$55), 0.62, 0.72)),
                 IF(ISBLANK($L55), "", $L55)))</f>
        <v/>
      </c>
      <c r="BN55" s="99" t="str">
        <f>IF($L55&lt;&gt;"", $L55,
        IF($O55 = マスタ!$B$3,
          IF(OR($F55=マスタ!$C$3,$F55=マスタ!$C$4,$F55=マスタ!$C$5), 0.6, 0.5),
             IF(ISBLANK($L55), "", $L55)))</f>
        <v/>
      </c>
      <c r="BO55" s="99" t="str">
        <f>IF($T55&lt;&gt;マスタ!$B$3,
        IF(ISBLANK($S55),"",$S55),
             IF($BL55=マスタ!$C$3,0.8,
             IF($BL55=マスタ!$C$4,0.85,
             IF($BL55=マスタ!$C$6,0.9,
             IF($BL55=マスタ!$C$7,0.9,
             IF($BL55=マスタ!$C$5,1,
             IF($BL55=マスタ!$C$8,1,"無効な入力")))))))</f>
        <v/>
      </c>
      <c r="BP55" s="99" t="str">
        <f>IF($Y55&lt;&gt;マスタ!$B$3,
   IF(ISBLANK($X55), "", $X55),
   IF($BL55=マスタ!$C$3, 0.75,
      IF($BL55=マスタ!$C$4, 0.8,
         IF($BL55=マスタ!$C$6, 0.8,
            IF($BL55=マスタ!$C$7, 0.8,
               IF($BL55=マスタ!$C$5, 0.8,
                  IF($BL55=マスタ!$C$8, 0.8, "無効な入力")))))))</f>
        <v/>
      </c>
      <c r="BQ55" s="75"/>
      <c r="BR55" s="75"/>
      <c r="BS55" s="75"/>
      <c r="BT55" s="75"/>
      <c r="BU55" s="75"/>
      <c r="BV55" s="75"/>
      <c r="BW55" s="75"/>
      <c r="BX55" s="75"/>
      <c r="BY55" s="75"/>
    </row>
    <row r="56" spans="3:77" ht="30.75" customHeight="1">
      <c r="C56" s="69" t="str" cm="1">
        <f t="array" aca="1" ref="C56" ca="1">IF(SUMPRODUCT(--($D56:$AU56 &lt;&gt; "")),RIGHT(YEAR(TODAY()),2)&amp;"01"&amp;REPT("0",4-LEN(ROW()-11))&amp;ROW()-11,"")</f>
        <v/>
      </c>
      <c r="D56" s="141"/>
      <c r="E56" s="142"/>
      <c r="F56" s="71"/>
      <c r="G56" s="66"/>
      <c r="H56" s="41" t="str">
        <f>IFERROR(VLOOKUP(G56,マスタ!$D$3:$E$55,2,FALSE),"")</f>
        <v/>
      </c>
      <c r="I56" s="93"/>
      <c r="J56" s="77"/>
      <c r="K56" s="66"/>
      <c r="L56" s="103"/>
      <c r="M56" s="71"/>
      <c r="N56" s="101" t="str">
        <f>IF($M56 = $BM$9, $BM$9,
        IF($L56 = "", "",
              IF(OR(
                          AND(OR($G56 = マスタ!$D$54, $G56 = マスタ!$D$55), $L56 &lt;= $BP$9),
                          AND($G56 &lt;&gt; マスタ!$D$54, $G56 &lt;&gt; マスタ!$D$55, $L56 &lt;= $BQ$9)
                         ), $BM$9, $BN$9)))</f>
        <v/>
      </c>
      <c r="O56" s="71"/>
      <c r="P56" s="101" t="str">
        <f t="shared" si="21"/>
        <v/>
      </c>
      <c r="Q56" s="124"/>
      <c r="R56" s="124"/>
      <c r="S56" s="112" t="str">
        <f t="shared" si="19"/>
        <v/>
      </c>
      <c r="T56" s="71"/>
      <c r="U56" s="41" t="str">
        <f>IF($T56=$BM$9, $BM$9,
        IF($S56="", "",
             IF(OR(AND($BL56=マスタ!$C$3, $S56&lt;=$BS$9),
                        AND($BL56=マスタ!$C$4, $S56&lt;=$BT$9),
                        AND(OR($BL56=マスタ!$C$6, $BL56=マスタ!$C$7), $S56&lt;=$BU$9),
                        AND(OR($BL56=マスタ!$C$5, $BL56=マスタ!$C$8), $S56&lt;=$BV$9)),
                  $BM$9, $BN$9)))</f>
        <v/>
      </c>
      <c r="V56" s="129" t="str">
        <f t="shared" si="16"/>
        <v/>
      </c>
      <c r="W56" s="124"/>
      <c r="X56" s="112" t="str">
        <f t="shared" si="20"/>
        <v/>
      </c>
      <c r="Y56" s="71"/>
      <c r="Z56" s="41" t="str">
        <f>IF($Y56=$BM$9, $BM$9,
        IF(AND($T56 = $BM$9, $Y56 = $BO$9), $BN$9,
             IF($BL56=マスタ!$C$3,
                  IF($X56&lt;=$BW$9, $BM$9,$BN$9),
                       IF(OR($BL56=マスタ!$C$4, $BL56=マスタ!$C$5, $BL56=マスタ!$C$6, $BL56=マスタ!$C$7, $BL56=マスタ!$C$8),
                            IF($X56&lt;=$BX$9, $BM$9,$BN$9), ""))))</f>
        <v/>
      </c>
      <c r="AA56" s="71"/>
      <c r="AB56" s="71"/>
      <c r="AC56" s="71"/>
      <c r="AD56" s="165"/>
      <c r="AE56" s="71"/>
      <c r="AF56" s="165"/>
      <c r="AG56" s="92"/>
      <c r="AH56" s="92"/>
      <c r="AI56" s="92"/>
      <c r="AJ56" s="92"/>
      <c r="AK56" s="121"/>
      <c r="AL56" s="121"/>
      <c r="AM56" s="121"/>
      <c r="AN56" s="121"/>
      <c r="AO56" s="92"/>
      <c r="AP56" s="130" t="str">
        <f t="shared" si="5"/>
        <v/>
      </c>
      <c r="AQ56" s="121"/>
      <c r="AR56" s="101" t="str">
        <f>IF(OR(SUMPRODUCT(--(AJ56:AQ56&lt;&gt;""))&lt;7,AND($AJ56=マスタ!$N$3,$AK56="")), "",
        IF($AJ56=マスタ!$N$5, $BO$9,
              IF(OR($F56=マスタ!$C$3, $F56=マスタ!$C$4, $F56=マスタ!$C$5),
                    IF(SUM($AL56,$AM56,$AP56,$AQ56)&gt;=1, $BM$9, $BN$9),
              IF(OR($F56=マスタ!$C$6, $F56=マスタ!$C$7, $F56=マスタ!$C$8),
                    IF($AK56&lt;10, $BO$9,
                          IF(AND(SUM($AL56,$AM56,$AP56,$AQ56)&gt;=($AK56*0.2), $AM56+$AP56+$AQ56&gt;=1),
                               $BM$9,$BN$9))))))</f>
        <v/>
      </c>
      <c r="AS56" s="101" t="str">
        <f>IF(OR(SUMPRODUCT(--(AJ56:AQ56&lt;&gt;""))&lt;7,AND($AJ56=マスタ!$N$3,$AK56="")), "",
     IF($AR56=$BN$9,$BN$9,
        IF($AJ56=マスタ!$N$5, $BO$9,
             IF(OR($F56=マスタ!$C$3, $F56=マスタ!$C$4, $F56=マスタ!$C$5),
                   IF($AQ56&gt;=1, $BM$9, $BN$9),
             IF(OR($F56=マスタ!$C$6, $F56=マスタ!$C$7, $F56=マスタ!$C$8),
                   IF($AK56&lt;5, IF($AQ56&gt;=1, $BM$9, $BN$9),
                         IF(OR($AQ56&gt;=1,
                                    AND(SUM($AL56,$AM56,$AP56,$AQ56)&gt;=$AK56*0.5, ($AM56+$AP56+$AQ56)&gt;=($AK56*0.2))),
                              $BM$9,$BN$9)))))))</f>
        <v/>
      </c>
      <c r="AT56" s="66"/>
      <c r="AU56" s="143"/>
      <c r="AV56" s="98" t="str" cm="1">
        <f t="array" aca="1" ref="AV56" ca="1">IF(AND($F56:$G56&lt;&gt;"", $I56:$K56&lt;&gt;"",
                 IF(OR($M56=$BM$9,$O56=$BM$9), TRUE, $L56&lt;&gt;""),
                 $M56&lt;&gt;"",$O56&lt;&gt;"",
                 IF($T56=$BM$9, TRUE, $Q56:$R56&lt;&gt;""),
                 IF(AND($BL56&lt;&gt;"", $BL56&lt;&gt;マスタ!$C$5, $BL56&lt;&gt;マスタ!$C$8), TRUE, $T56&lt;&gt;""),
                 IF(OR(AND($T56=$BM$9,  $Y56=$BO$9), $Y56=$BM$9), TRUE,$W56&lt;&gt;""),
                 IF(AND($BL56&lt;&gt;"", $BL56&lt;&gt;マスタ!$C$5, $BL56&lt;&gt;マスタ!$C$8), TRUE, $Y56&lt;&gt;""),
                 $AA56&lt;&gt;"",
                 IF($AA56=マスタ!$F$4, TRUE, $AB56&lt;&gt;""),
                 $AG56:$AO56&lt;&gt;"", $AQ56&lt;&gt;"", $AT56&lt;&gt;""),
        "（正常）入力済み", IF($C56= "", "（複数入力）未入力", "（エラー）一部未入力"))</f>
        <v>（複数入力）未入力</v>
      </c>
      <c r="AW56" s="98" t="str">
        <f t="shared" ca="1" si="6"/>
        <v/>
      </c>
      <c r="AX56" s="98" t="str">
        <f t="shared" ca="1" si="22"/>
        <v/>
      </c>
      <c r="AY56" s="98" t="str">
        <f t="shared" ca="1" si="23"/>
        <v/>
      </c>
      <c r="AZ56" s="98" t="str">
        <f t="shared" ca="1" si="24"/>
        <v/>
      </c>
      <c r="BA56" s="98" t="str">
        <f t="shared" ca="1" si="25"/>
        <v/>
      </c>
      <c r="BB56" s="98" t="str">
        <f t="shared" ca="1" si="26"/>
        <v/>
      </c>
      <c r="BC56" s="98" t="str">
        <f t="shared" ca="1" si="27"/>
        <v/>
      </c>
      <c r="BD56" s="98" t="str">
        <f t="shared" ca="1" si="28"/>
        <v/>
      </c>
      <c r="BE56" s="98" t="str">
        <f>IF($BL56="","",
   IF($T56=入力不可用2,
      IF(OR($BL56=マスタ!$C$5,$BL56=マスタ!$C$8), "未入力", "（正常）規定値"),
      IF(OR($BL56=マスタ!$C$5,$BL56=マスタ!$C$8), "（正常）規定値", "（エラー）値入力不可")))</f>
        <v/>
      </c>
      <c r="BF56" s="98" t="str">
        <f ca="1">IF($C56 = "", "",
       IF(AND(OR($BL56=マスタ!$C$5, $BL56=マスタ!$C$8), $T56 = ""), "未入力",
            IF(AND($Y56 = $BM$9, $T56 = $BO$9), "（エラー）「適合」のみ入力可", "（正常）規定値")))</f>
        <v/>
      </c>
      <c r="BG56" s="98" t="str">
        <f t="shared" ca="1" si="29"/>
        <v/>
      </c>
      <c r="BH56" s="98" t="str">
        <f t="shared" ca="1" si="30"/>
        <v/>
      </c>
      <c r="BI56" s="98" t="str">
        <f>IF($BL56="","",
   IF($Y56=入力不可用2,
      IF(OR($BL56=マスタ!$C$5,$BL56=マスタ!$C$8), "未入力", "（正常）規定値"),
      IF(OR($BL56=マスタ!$C$5,$BL56=マスタ!$C$8), "（正常）規定値", "（エラー）値入力不可")))</f>
        <v/>
      </c>
      <c r="BJ56" s="98" t="str">
        <f>IF($AA56="", "",
        IF($AA56=マスタ!$F$3,
             IF($AB56="", "未入力", "（正常）規定値"),
                  IF($AA56=マスタ!$F$4,
                       IF($AB56&lt;&gt;入力不可用2, "（エラー）値入力不可", "（正常）規定値"))))</f>
        <v/>
      </c>
      <c r="BL56" s="75" t="str">
        <f>IF(OR($F56 = マスタ!$C$5, F56 = マスタ!$C$8), $F56,
        IF(AND($F56 = マスタ!$C$3, 'その１事業者基本情報_入力シート（一部非公開）'!$U$16), $F56,
             IF(AND($F56 = マスタ!$C$4, 'その１事業者基本情報_入力シート（一部非公開）'!$S$16), $F56,
                  IF(AND(OR($F56 = マスタ!$C$6, $F56 = マスタ!$C$7),
                                'その１事業者基本情報_入力シート（一部非公開）'!$W$16), $F56,
                       IF(OR($F56 = マスタ!$C$3, $F56=マスタ!$C$4), マスタ!$C$5,
                            IF(OR($F56 = マスタ!$C$6, $F56 = マスタ!$C$7), マスタ!$C$8, ""))))))</f>
        <v/>
      </c>
      <c r="BM56" s="75" t="str">
        <f>IF($L56&lt;&gt;"", $L56,
       IF($M56 = マスタ!$B$3,
          IF(OR($F56=マスタ!$C$3,$F56=マスタ!$C$4,$F56=マスタ!$C$5),
            IF(OR($G56 = マスタ!$D$54, $G56 = マスタ!$D$55), 0.75, 0.87),
            IF(OR($G56 = マスタ!$D$54, $G56 = マスタ!$D$55), 0.62, 0.72)),
                 IF(ISBLANK($L56), "", $L56)))</f>
        <v/>
      </c>
      <c r="BN56" s="99" t="str">
        <f>IF($L56&lt;&gt;"", $L56,
        IF($O56 = マスタ!$B$3,
          IF(OR($F56=マスタ!$C$3,$F56=マスタ!$C$4,$F56=マスタ!$C$5), 0.6, 0.5),
             IF(ISBLANK($L56), "", $L56)))</f>
        <v/>
      </c>
      <c r="BO56" s="99" t="str">
        <f>IF($T56&lt;&gt;マスタ!$B$3,
        IF(ISBLANK($S56),"",$S56),
             IF($BL56=マスタ!$C$3,0.8,
             IF($BL56=マスタ!$C$4,0.85,
             IF($BL56=マスタ!$C$6,0.9,
             IF($BL56=マスタ!$C$7,0.9,
             IF($BL56=マスタ!$C$5,1,
             IF($BL56=マスタ!$C$8,1,"無効な入力")))))))</f>
        <v/>
      </c>
      <c r="BP56" s="99" t="str">
        <f>IF($Y56&lt;&gt;マスタ!$B$3,
   IF(ISBLANK($X56), "", $X56),
   IF($BL56=マスタ!$C$3, 0.75,
      IF($BL56=マスタ!$C$4, 0.8,
         IF($BL56=マスタ!$C$6, 0.8,
            IF($BL56=マスタ!$C$7, 0.8,
               IF($BL56=マスタ!$C$5, 0.8,
                  IF($BL56=マスタ!$C$8, 0.8, "無効な入力")))))))</f>
        <v/>
      </c>
      <c r="BQ56" s="75"/>
      <c r="BR56" s="75"/>
      <c r="BS56" s="75"/>
      <c r="BT56" s="75"/>
      <c r="BU56" s="75"/>
      <c r="BV56" s="75"/>
      <c r="BW56" s="75"/>
      <c r="BX56" s="75"/>
      <c r="BY56" s="75"/>
    </row>
    <row r="57" spans="3:77" ht="30.75" customHeight="1">
      <c r="C57" s="69" t="str" cm="1">
        <f t="array" aca="1" ref="C57" ca="1">IF(SUMPRODUCT(--($D57:$AU57 &lt;&gt; "")),RIGHT(YEAR(TODAY()),2)&amp;"01"&amp;REPT("0",4-LEN(ROW()-11))&amp;ROW()-11,"")</f>
        <v/>
      </c>
      <c r="D57" s="141"/>
      <c r="E57" s="142"/>
      <c r="F57" s="71"/>
      <c r="G57" s="66"/>
      <c r="H57" s="41" t="str">
        <f>IFERROR(VLOOKUP(G57,マスタ!$D$3:$E$55,2,FALSE),"")</f>
        <v/>
      </c>
      <c r="I57" s="93"/>
      <c r="J57" s="77"/>
      <c r="K57" s="66"/>
      <c r="L57" s="103"/>
      <c r="M57" s="71"/>
      <c r="N57" s="101" t="str">
        <f>IF($M57 = $BM$9, $BM$9,
        IF($L57 = "", "",
              IF(OR(
                          AND(OR($G57 = マスタ!$D$54, $G57 = マスタ!$D$55), $L57 &lt;= $BP$9),
                          AND($G57 &lt;&gt; マスタ!$D$54, $G57 &lt;&gt; マスタ!$D$55, $L57 &lt;= $BQ$9)
                         ), $BM$9, $BN$9)))</f>
        <v/>
      </c>
      <c r="O57" s="71"/>
      <c r="P57" s="101" t="str">
        <f t="shared" si="21"/>
        <v/>
      </c>
      <c r="Q57" s="124"/>
      <c r="R57" s="124"/>
      <c r="S57" s="112" t="str">
        <f t="shared" si="19"/>
        <v/>
      </c>
      <c r="T57" s="71"/>
      <c r="U57" s="41" t="str">
        <f>IF($T57=$BM$9, $BM$9,
        IF($S57="", "",
             IF(OR(AND($BL57=マスタ!$C$3, $S57&lt;=$BS$9),
                        AND($BL57=マスタ!$C$4, $S57&lt;=$BT$9),
                        AND(OR($BL57=マスタ!$C$6, $BL57=マスタ!$C$7), $S57&lt;=$BU$9),
                        AND(OR($BL57=マスタ!$C$5, $BL57=マスタ!$C$8), $S57&lt;=$BV$9)),
                  $BM$9, $BN$9)))</f>
        <v/>
      </c>
      <c r="V57" s="129" t="str">
        <f t="shared" si="16"/>
        <v/>
      </c>
      <c r="W57" s="124"/>
      <c r="X57" s="112" t="str">
        <f t="shared" si="20"/>
        <v/>
      </c>
      <c r="Y57" s="71"/>
      <c r="Z57" s="41" t="str">
        <f>IF($Y57=$BM$9, $BM$9,
        IF(AND($T57 = $BM$9, $Y57 = $BO$9), $BN$9,
             IF($BL57=マスタ!$C$3,
                  IF($X57&lt;=$BW$9, $BM$9,$BN$9),
                       IF(OR($BL57=マスタ!$C$4, $BL57=マスタ!$C$5, $BL57=マスタ!$C$6, $BL57=マスタ!$C$7, $BL57=マスタ!$C$8),
                            IF($X57&lt;=$BX$9, $BM$9,$BN$9), ""))))</f>
        <v/>
      </c>
      <c r="AA57" s="71"/>
      <c r="AB57" s="71"/>
      <c r="AC57" s="71"/>
      <c r="AD57" s="165"/>
      <c r="AE57" s="71"/>
      <c r="AF57" s="165"/>
      <c r="AG57" s="92"/>
      <c r="AH57" s="92"/>
      <c r="AI57" s="92"/>
      <c r="AJ57" s="92"/>
      <c r="AK57" s="121"/>
      <c r="AL57" s="121"/>
      <c r="AM57" s="121"/>
      <c r="AN57" s="121"/>
      <c r="AO57" s="92"/>
      <c r="AP57" s="130" t="str">
        <f t="shared" si="5"/>
        <v/>
      </c>
      <c r="AQ57" s="121"/>
      <c r="AR57" s="101" t="str">
        <f>IF(OR(SUMPRODUCT(--(AJ57:AQ57&lt;&gt;""))&lt;7,AND($AJ57=マスタ!$N$3,$AK57="")), "",
        IF($AJ57=マスタ!$N$5, $BO$9,
              IF(OR($F57=マスタ!$C$3, $F57=マスタ!$C$4, $F57=マスタ!$C$5),
                    IF(SUM($AL57,$AM57,$AP57,$AQ57)&gt;=1, $BM$9, $BN$9),
              IF(OR($F57=マスタ!$C$6, $F57=マスタ!$C$7, $F57=マスタ!$C$8),
                    IF($AK57&lt;10, $BO$9,
                          IF(AND(SUM($AL57,$AM57,$AP57,$AQ57)&gt;=($AK57*0.2), $AM57+$AP57+$AQ57&gt;=1),
                               $BM$9,$BN$9))))))</f>
        <v/>
      </c>
      <c r="AS57" s="101" t="str">
        <f>IF(OR(SUMPRODUCT(--(AJ57:AQ57&lt;&gt;""))&lt;7,AND($AJ57=マスタ!$N$3,$AK57="")), "",
     IF($AR57=$BN$9,$BN$9,
        IF($AJ57=マスタ!$N$5, $BO$9,
             IF(OR($F57=マスタ!$C$3, $F57=マスタ!$C$4, $F57=マスタ!$C$5),
                   IF($AQ57&gt;=1, $BM$9, $BN$9),
             IF(OR($F57=マスタ!$C$6, $F57=マスタ!$C$7, $F57=マスタ!$C$8),
                   IF($AK57&lt;5, IF($AQ57&gt;=1, $BM$9, $BN$9),
                         IF(OR($AQ57&gt;=1,
                                    AND(SUM($AL57,$AM57,$AP57,$AQ57)&gt;=$AK57*0.5, ($AM57+$AP57+$AQ57)&gt;=($AK57*0.2))),
                              $BM$9,$BN$9)))))))</f>
        <v/>
      </c>
      <c r="AT57" s="66"/>
      <c r="AU57" s="143"/>
      <c r="AV57" s="98" t="str" cm="1">
        <f t="array" aca="1" ref="AV57" ca="1">IF(AND($F57:$G57&lt;&gt;"", $I57:$K57&lt;&gt;"",
                 IF(OR($M57=$BM$9,$O57=$BM$9), TRUE, $L57&lt;&gt;""),
                 $M57&lt;&gt;"",$O57&lt;&gt;"",
                 IF($T57=$BM$9, TRUE, $Q57:$R57&lt;&gt;""),
                 IF(AND($BL57&lt;&gt;"", $BL57&lt;&gt;マスタ!$C$5, $BL57&lt;&gt;マスタ!$C$8), TRUE, $T57&lt;&gt;""),
                 IF(OR(AND($T57=$BM$9,  $Y57=$BO$9), $Y57=$BM$9), TRUE,$W57&lt;&gt;""),
                 IF(AND($BL57&lt;&gt;"", $BL57&lt;&gt;マスタ!$C$5, $BL57&lt;&gt;マスタ!$C$8), TRUE, $Y57&lt;&gt;""),
                 $AA57&lt;&gt;"",
                 IF($AA57=マスタ!$F$4, TRUE, $AB57&lt;&gt;""),
                 $AG57:$AO57&lt;&gt;"", $AQ57&lt;&gt;"", $AT57&lt;&gt;""),
        "（正常）入力済み", IF($C57= "", "（複数入力）未入力", "（エラー）一部未入力"))</f>
        <v>（複数入力）未入力</v>
      </c>
      <c r="AW57" s="98" t="str">
        <f t="shared" ca="1" si="6"/>
        <v/>
      </c>
      <c r="AX57" s="98" t="str">
        <f t="shared" ca="1" si="22"/>
        <v/>
      </c>
      <c r="AY57" s="98" t="str">
        <f t="shared" ca="1" si="23"/>
        <v/>
      </c>
      <c r="AZ57" s="98" t="str">
        <f t="shared" ca="1" si="24"/>
        <v/>
      </c>
      <c r="BA57" s="98" t="str">
        <f t="shared" ca="1" si="25"/>
        <v/>
      </c>
      <c r="BB57" s="98" t="str">
        <f t="shared" ca="1" si="26"/>
        <v/>
      </c>
      <c r="BC57" s="98" t="str">
        <f t="shared" ca="1" si="27"/>
        <v/>
      </c>
      <c r="BD57" s="98" t="str">
        <f t="shared" ca="1" si="28"/>
        <v/>
      </c>
      <c r="BE57" s="98" t="str">
        <f>IF($BL57="","",
   IF($T57=入力不可用2,
      IF(OR($BL57=マスタ!$C$5,$BL57=マスタ!$C$8), "未入力", "（正常）規定値"),
      IF(OR($BL57=マスタ!$C$5,$BL57=マスタ!$C$8), "（正常）規定値", "（エラー）値入力不可")))</f>
        <v/>
      </c>
      <c r="BF57" s="98" t="str">
        <f ca="1">IF($C57 = "", "",
       IF(AND(OR($BL57=マスタ!$C$5, $BL57=マスタ!$C$8), $T57 = ""), "未入力",
            IF(AND($Y57 = $BM$9, $T57 = $BO$9), "（エラー）「適合」のみ入力可", "（正常）規定値")))</f>
        <v/>
      </c>
      <c r="BG57" s="98" t="str">
        <f t="shared" ca="1" si="29"/>
        <v/>
      </c>
      <c r="BH57" s="98" t="str">
        <f t="shared" ca="1" si="30"/>
        <v/>
      </c>
      <c r="BI57" s="98" t="str">
        <f>IF($BL57="","",
   IF($Y57=入力不可用2,
      IF(OR($BL57=マスタ!$C$5,$BL57=マスタ!$C$8), "未入力", "（正常）規定値"),
      IF(OR($BL57=マスタ!$C$5,$BL57=マスタ!$C$8), "（正常）規定値", "（エラー）値入力不可")))</f>
        <v/>
      </c>
      <c r="BJ57" s="98" t="str">
        <f>IF($AA57="", "",
        IF($AA57=マスタ!$F$3,
             IF($AB57="", "未入力", "（正常）規定値"),
                  IF($AA57=マスタ!$F$4,
                       IF($AB57&lt;&gt;入力不可用2, "（エラー）値入力不可", "（正常）規定値"))))</f>
        <v/>
      </c>
      <c r="BL57" s="75" t="str">
        <f>IF(OR($F57 = マスタ!$C$5, F57 = マスタ!$C$8), $F57,
        IF(AND($F57 = マスタ!$C$3, 'その１事業者基本情報_入力シート（一部非公開）'!$U$16), $F57,
             IF(AND($F57 = マスタ!$C$4, 'その１事業者基本情報_入力シート（一部非公開）'!$S$16), $F57,
                  IF(AND(OR($F57 = マスタ!$C$6, $F57 = マスタ!$C$7),
                                'その１事業者基本情報_入力シート（一部非公開）'!$W$16), $F57,
                       IF(OR($F57 = マスタ!$C$3, $F57=マスタ!$C$4), マスタ!$C$5,
                            IF(OR($F57 = マスタ!$C$6, $F57 = マスタ!$C$7), マスタ!$C$8, ""))))))</f>
        <v/>
      </c>
      <c r="BM57" s="75" t="str">
        <f>IF($L57&lt;&gt;"", $L57,
       IF($M57 = マスタ!$B$3,
          IF(OR($F57=マスタ!$C$3,$F57=マスタ!$C$4,$F57=マスタ!$C$5),
            IF(OR($G57 = マスタ!$D$54, $G57 = マスタ!$D$55), 0.75, 0.87),
            IF(OR($G57 = マスタ!$D$54, $G57 = マスタ!$D$55), 0.62, 0.72)),
                 IF(ISBLANK($L57), "", $L57)))</f>
        <v/>
      </c>
      <c r="BN57" s="99" t="str">
        <f>IF($L57&lt;&gt;"", $L57,
        IF($O57 = マスタ!$B$3,
          IF(OR($F57=マスタ!$C$3,$F57=マスタ!$C$4,$F57=マスタ!$C$5), 0.6, 0.5),
             IF(ISBLANK($L57), "", $L57)))</f>
        <v/>
      </c>
      <c r="BO57" s="99" t="str">
        <f>IF($T57&lt;&gt;マスタ!$B$3,
        IF(ISBLANK($S57),"",$S57),
             IF($BL57=マスタ!$C$3,0.8,
             IF($BL57=マスタ!$C$4,0.85,
             IF($BL57=マスタ!$C$6,0.9,
             IF($BL57=マスタ!$C$7,0.9,
             IF($BL57=マスタ!$C$5,1,
             IF($BL57=マスタ!$C$8,1,"無効な入力")))))))</f>
        <v/>
      </c>
      <c r="BP57" s="99" t="str">
        <f>IF($Y57&lt;&gt;マスタ!$B$3,
   IF(ISBLANK($X57), "", $X57),
   IF($BL57=マスタ!$C$3, 0.75,
      IF($BL57=マスタ!$C$4, 0.8,
         IF($BL57=マスタ!$C$6, 0.8,
            IF($BL57=マスタ!$C$7, 0.8,
               IF($BL57=マスタ!$C$5, 0.8,
                  IF($BL57=マスタ!$C$8, 0.8, "無効な入力")))))))</f>
        <v/>
      </c>
      <c r="BQ57" s="75"/>
      <c r="BR57" s="75"/>
      <c r="BS57" s="75"/>
      <c r="BT57" s="75"/>
      <c r="BU57" s="75"/>
      <c r="BV57" s="75"/>
      <c r="BW57" s="75"/>
      <c r="BX57" s="75"/>
      <c r="BY57" s="75"/>
    </row>
    <row r="58" spans="3:77" ht="30.75" customHeight="1">
      <c r="C58" s="69" t="str" cm="1">
        <f t="array" aca="1" ref="C58" ca="1">IF(SUMPRODUCT(--($D58:$AU58 &lt;&gt; "")),RIGHT(YEAR(TODAY()),2)&amp;"01"&amp;REPT("0",4-LEN(ROW()-11))&amp;ROW()-11,"")</f>
        <v/>
      </c>
      <c r="D58" s="141"/>
      <c r="E58" s="142"/>
      <c r="F58" s="71"/>
      <c r="G58" s="66"/>
      <c r="H58" s="41" t="str">
        <f>IFERROR(VLOOKUP(G58,マスタ!$D$3:$E$55,2,FALSE),"")</f>
        <v/>
      </c>
      <c r="I58" s="93"/>
      <c r="J58" s="77"/>
      <c r="K58" s="66"/>
      <c r="L58" s="103"/>
      <c r="M58" s="71"/>
      <c r="N58" s="101" t="str">
        <f>IF($M58 = $BM$9, $BM$9,
        IF($L58 = "", "",
              IF(OR(
                          AND(OR($G58 = マスタ!$D$54, $G58 = マスタ!$D$55), $L58 &lt;= $BP$9),
                          AND($G58 &lt;&gt; マスタ!$D$54, $G58 &lt;&gt; マスタ!$D$55, $L58 &lt;= $BQ$9)
                         ), $BM$9, $BN$9)))</f>
        <v/>
      </c>
      <c r="O58" s="71"/>
      <c r="P58" s="101" t="str">
        <f t="shared" si="21"/>
        <v/>
      </c>
      <c r="Q58" s="124"/>
      <c r="R58" s="124"/>
      <c r="S58" s="112" t="str">
        <f t="shared" si="19"/>
        <v/>
      </c>
      <c r="T58" s="71"/>
      <c r="U58" s="41" t="str">
        <f>IF($T58=$BM$9, $BM$9,
        IF($S58="", "",
             IF(OR(AND($BL58=マスタ!$C$3, $S58&lt;=$BS$9),
                        AND($BL58=マスタ!$C$4, $S58&lt;=$BT$9),
                        AND(OR($BL58=マスタ!$C$6, $BL58=マスタ!$C$7), $S58&lt;=$BU$9),
                        AND(OR($BL58=マスタ!$C$5, $BL58=マスタ!$C$8), $S58&lt;=$BV$9)),
                  $BM$9, $BN$9)))</f>
        <v/>
      </c>
      <c r="V58" s="129" t="str">
        <f t="shared" si="16"/>
        <v/>
      </c>
      <c r="W58" s="124"/>
      <c r="X58" s="112" t="str">
        <f t="shared" si="20"/>
        <v/>
      </c>
      <c r="Y58" s="71"/>
      <c r="Z58" s="41" t="str">
        <f>IF($Y58=$BM$9, $BM$9,
        IF(AND($T58 = $BM$9, $Y58 = $BO$9), $BN$9,
             IF($BL58=マスタ!$C$3,
                  IF($X58&lt;=$BW$9, $BM$9,$BN$9),
                       IF(OR($BL58=マスタ!$C$4, $BL58=マスタ!$C$5, $BL58=マスタ!$C$6, $BL58=マスタ!$C$7, $BL58=マスタ!$C$8),
                            IF($X58&lt;=$BX$9, $BM$9,$BN$9), ""))))</f>
        <v/>
      </c>
      <c r="AA58" s="71"/>
      <c r="AB58" s="71"/>
      <c r="AC58" s="71"/>
      <c r="AD58" s="165"/>
      <c r="AE58" s="71"/>
      <c r="AF58" s="165"/>
      <c r="AG58" s="92"/>
      <c r="AH58" s="92"/>
      <c r="AI58" s="92"/>
      <c r="AJ58" s="92"/>
      <c r="AK58" s="121"/>
      <c r="AL58" s="121"/>
      <c r="AM58" s="121"/>
      <c r="AN58" s="121"/>
      <c r="AO58" s="92"/>
      <c r="AP58" s="130" t="str">
        <f t="shared" si="5"/>
        <v/>
      </c>
      <c r="AQ58" s="121"/>
      <c r="AR58" s="101" t="str">
        <f>IF(OR(SUMPRODUCT(--(AJ58:AQ58&lt;&gt;""))&lt;7,AND($AJ58=マスタ!$N$3,$AK58="")), "",
        IF($AJ58=マスタ!$N$5, $BO$9,
              IF(OR($F58=マスタ!$C$3, $F58=マスタ!$C$4, $F58=マスタ!$C$5),
                    IF(SUM($AL58,$AM58,$AP58,$AQ58)&gt;=1, $BM$9, $BN$9),
              IF(OR($F58=マスタ!$C$6, $F58=マスタ!$C$7, $F58=マスタ!$C$8),
                    IF($AK58&lt;10, $BO$9,
                          IF(AND(SUM($AL58,$AM58,$AP58,$AQ58)&gt;=($AK58*0.2), $AM58+$AP58+$AQ58&gt;=1),
                               $BM$9,$BN$9))))))</f>
        <v/>
      </c>
      <c r="AS58" s="101" t="str">
        <f>IF(OR(SUMPRODUCT(--(AJ58:AQ58&lt;&gt;""))&lt;7,AND($AJ58=マスタ!$N$3,$AK58="")), "",
     IF($AR58=$BN$9,$BN$9,
        IF($AJ58=マスタ!$N$5, $BO$9,
             IF(OR($F58=マスタ!$C$3, $F58=マスタ!$C$4, $F58=マスタ!$C$5),
                   IF($AQ58&gt;=1, $BM$9, $BN$9),
             IF(OR($F58=マスタ!$C$6, $F58=マスタ!$C$7, $F58=マスタ!$C$8),
                   IF($AK58&lt;5, IF($AQ58&gt;=1, $BM$9, $BN$9),
                         IF(OR($AQ58&gt;=1,
                                    AND(SUM($AL58,$AM58,$AP58,$AQ58)&gt;=$AK58*0.5, ($AM58+$AP58+$AQ58)&gt;=($AK58*0.2))),
                              $BM$9,$BN$9)))))))</f>
        <v/>
      </c>
      <c r="AT58" s="66"/>
      <c r="AU58" s="143"/>
      <c r="AV58" s="98" t="str" cm="1">
        <f t="array" aca="1" ref="AV58" ca="1">IF(AND($F58:$G58&lt;&gt;"", $I58:$K58&lt;&gt;"",
                 IF(OR($M58=$BM$9,$O58=$BM$9), TRUE, $L58&lt;&gt;""),
                 $M58&lt;&gt;"",$O58&lt;&gt;"",
                 IF($T58=$BM$9, TRUE, $Q58:$R58&lt;&gt;""),
                 IF(AND($BL58&lt;&gt;"", $BL58&lt;&gt;マスタ!$C$5, $BL58&lt;&gt;マスタ!$C$8), TRUE, $T58&lt;&gt;""),
                 IF(OR(AND($T58=$BM$9,  $Y58=$BO$9), $Y58=$BM$9), TRUE,$W58&lt;&gt;""),
                 IF(AND($BL58&lt;&gt;"", $BL58&lt;&gt;マスタ!$C$5, $BL58&lt;&gt;マスタ!$C$8), TRUE, $Y58&lt;&gt;""),
                 $AA58&lt;&gt;"",
                 IF($AA58=マスタ!$F$4, TRUE, $AB58&lt;&gt;""),
                 $AG58:$AO58&lt;&gt;"", $AQ58&lt;&gt;"", $AT58&lt;&gt;""),
        "（正常）入力済み", IF($C58= "", "（複数入力）未入力", "（エラー）一部未入力"))</f>
        <v>（複数入力）未入力</v>
      </c>
      <c r="AW58" s="98" t="str">
        <f t="shared" ca="1" si="6"/>
        <v/>
      </c>
      <c r="AX58" s="98" t="str">
        <f t="shared" ca="1" si="22"/>
        <v/>
      </c>
      <c r="AY58" s="98" t="str">
        <f t="shared" ca="1" si="23"/>
        <v/>
      </c>
      <c r="AZ58" s="98" t="str">
        <f t="shared" ca="1" si="24"/>
        <v/>
      </c>
      <c r="BA58" s="98" t="str">
        <f t="shared" ca="1" si="25"/>
        <v/>
      </c>
      <c r="BB58" s="98" t="str">
        <f t="shared" ca="1" si="26"/>
        <v/>
      </c>
      <c r="BC58" s="98" t="str">
        <f t="shared" ca="1" si="27"/>
        <v/>
      </c>
      <c r="BD58" s="98" t="str">
        <f t="shared" ca="1" si="28"/>
        <v/>
      </c>
      <c r="BE58" s="98" t="str">
        <f>IF($BL58="","",
   IF($T58=入力不可用2,
      IF(OR($BL58=マスタ!$C$5,$BL58=マスタ!$C$8), "未入力", "（正常）規定値"),
      IF(OR($BL58=マスタ!$C$5,$BL58=マスタ!$C$8), "（正常）規定値", "（エラー）値入力不可")))</f>
        <v/>
      </c>
      <c r="BF58" s="98" t="str">
        <f ca="1">IF($C58 = "", "",
       IF(AND(OR($BL58=マスタ!$C$5, $BL58=マスタ!$C$8), $T58 = ""), "未入力",
            IF(AND($Y58 = $BM$9, $T58 = $BO$9), "（エラー）「適合」のみ入力可", "（正常）規定値")))</f>
        <v/>
      </c>
      <c r="BG58" s="98" t="str">
        <f t="shared" ca="1" si="29"/>
        <v/>
      </c>
      <c r="BH58" s="98" t="str">
        <f t="shared" ca="1" si="30"/>
        <v/>
      </c>
      <c r="BI58" s="98" t="str">
        <f>IF($BL58="","",
   IF($Y58=入力不可用2,
      IF(OR($BL58=マスタ!$C$5,$BL58=マスタ!$C$8), "未入力", "（正常）規定値"),
      IF(OR($BL58=マスタ!$C$5,$BL58=マスタ!$C$8), "（正常）規定値", "（エラー）値入力不可")))</f>
        <v/>
      </c>
      <c r="BJ58" s="98" t="str">
        <f>IF($AA58="", "",
        IF($AA58=マスタ!$F$3,
             IF($AB58="", "未入力", "（正常）規定値"),
                  IF($AA58=マスタ!$F$4,
                       IF($AB58&lt;&gt;入力不可用2, "（エラー）値入力不可", "（正常）規定値"))))</f>
        <v/>
      </c>
      <c r="BL58" s="75" t="str">
        <f>IF(OR($F58 = マスタ!$C$5, F58 = マスタ!$C$8), $F58,
        IF(AND($F58 = マスタ!$C$3, 'その１事業者基本情報_入力シート（一部非公開）'!$U$16), $F58,
             IF(AND($F58 = マスタ!$C$4, 'その１事業者基本情報_入力シート（一部非公開）'!$S$16), $F58,
                  IF(AND(OR($F58 = マスタ!$C$6, $F58 = マスタ!$C$7),
                                'その１事業者基本情報_入力シート（一部非公開）'!$W$16), $F58,
                       IF(OR($F58 = マスタ!$C$3, $F58=マスタ!$C$4), マスタ!$C$5,
                            IF(OR($F58 = マスタ!$C$6, $F58 = マスタ!$C$7), マスタ!$C$8, ""))))))</f>
        <v/>
      </c>
      <c r="BM58" s="75" t="str">
        <f>IF($L58&lt;&gt;"", $L58,
       IF($M58 = マスタ!$B$3,
          IF(OR($F58=マスタ!$C$3,$F58=マスタ!$C$4,$F58=マスタ!$C$5),
            IF(OR($G58 = マスタ!$D$54, $G58 = マスタ!$D$55), 0.75, 0.87),
            IF(OR($G58 = マスタ!$D$54, $G58 = マスタ!$D$55), 0.62, 0.72)),
                 IF(ISBLANK($L58), "", $L58)))</f>
        <v/>
      </c>
      <c r="BN58" s="99" t="str">
        <f>IF($L58&lt;&gt;"", $L58,
        IF($O58 = マスタ!$B$3,
          IF(OR($F58=マスタ!$C$3,$F58=マスタ!$C$4,$F58=マスタ!$C$5), 0.6, 0.5),
             IF(ISBLANK($L58), "", $L58)))</f>
        <v/>
      </c>
      <c r="BO58" s="99" t="str">
        <f>IF($T58&lt;&gt;マスタ!$B$3,
        IF(ISBLANK($S58),"",$S58),
             IF($BL58=マスタ!$C$3,0.8,
             IF($BL58=マスタ!$C$4,0.85,
             IF($BL58=マスタ!$C$6,0.9,
             IF($BL58=マスタ!$C$7,0.9,
             IF($BL58=マスタ!$C$5,1,
             IF($BL58=マスタ!$C$8,1,"無効な入力")))))))</f>
        <v/>
      </c>
      <c r="BP58" s="99" t="str">
        <f>IF($Y58&lt;&gt;マスタ!$B$3,
   IF(ISBLANK($X58), "", $X58),
   IF($BL58=マスタ!$C$3, 0.75,
      IF($BL58=マスタ!$C$4, 0.8,
         IF($BL58=マスタ!$C$6, 0.8,
            IF($BL58=マスタ!$C$7, 0.8,
               IF($BL58=マスタ!$C$5, 0.8,
                  IF($BL58=マスタ!$C$8, 0.8, "無効な入力")))))))</f>
        <v/>
      </c>
      <c r="BQ58" s="75"/>
      <c r="BR58" s="75"/>
      <c r="BS58" s="75"/>
      <c r="BT58" s="75"/>
      <c r="BU58" s="75"/>
      <c r="BV58" s="75"/>
      <c r="BW58" s="75"/>
      <c r="BX58" s="75"/>
      <c r="BY58" s="75"/>
    </row>
    <row r="59" spans="3:77" ht="30.75" customHeight="1">
      <c r="C59" s="69" t="str" cm="1">
        <f t="array" aca="1" ref="C59" ca="1">IF(SUMPRODUCT(--($D59:$AU59 &lt;&gt; "")),RIGHT(YEAR(TODAY()),2)&amp;"01"&amp;REPT("0",4-LEN(ROW()-11))&amp;ROW()-11,"")</f>
        <v/>
      </c>
      <c r="D59" s="141"/>
      <c r="E59" s="142"/>
      <c r="F59" s="71"/>
      <c r="G59" s="66"/>
      <c r="H59" s="41" t="str">
        <f>IFERROR(VLOOKUP(G59,マスタ!$D$3:$E$55,2,FALSE),"")</f>
        <v/>
      </c>
      <c r="I59" s="93"/>
      <c r="J59" s="77"/>
      <c r="K59" s="66"/>
      <c r="L59" s="103"/>
      <c r="M59" s="71"/>
      <c r="N59" s="101" t="str">
        <f>IF($M59 = $BM$9, $BM$9,
        IF($L59 = "", "",
              IF(OR(
                          AND(OR($G59 = マスタ!$D$54, $G59 = マスタ!$D$55), $L59 &lt;= $BP$9),
                          AND($G59 &lt;&gt; マスタ!$D$54, $G59 &lt;&gt; マスタ!$D$55, $L59 &lt;= $BQ$9)
                         ), $BM$9, $BN$9)))</f>
        <v/>
      </c>
      <c r="O59" s="71"/>
      <c r="P59" s="101" t="str">
        <f t="shared" si="21"/>
        <v/>
      </c>
      <c r="Q59" s="124"/>
      <c r="R59" s="124"/>
      <c r="S59" s="112" t="str">
        <f t="shared" si="19"/>
        <v/>
      </c>
      <c r="T59" s="71"/>
      <c r="U59" s="41" t="str">
        <f>IF($T59=$BM$9, $BM$9,
        IF($S59="", "",
             IF(OR(AND($BL59=マスタ!$C$3, $S59&lt;=$BS$9),
                        AND($BL59=マスタ!$C$4, $S59&lt;=$BT$9),
                        AND(OR($BL59=マスタ!$C$6, $BL59=マスタ!$C$7), $S59&lt;=$BU$9),
                        AND(OR($BL59=マスタ!$C$5, $BL59=マスタ!$C$8), $S59&lt;=$BV$9)),
                  $BM$9, $BN$9)))</f>
        <v/>
      </c>
      <c r="V59" s="129" t="str">
        <f t="shared" si="16"/>
        <v/>
      </c>
      <c r="W59" s="124"/>
      <c r="X59" s="112" t="str">
        <f t="shared" si="20"/>
        <v/>
      </c>
      <c r="Y59" s="71"/>
      <c r="Z59" s="41" t="str">
        <f>IF($Y59=$BM$9, $BM$9,
        IF(AND($T59 = $BM$9, $Y59 = $BO$9), $BN$9,
             IF($BL59=マスタ!$C$3,
                  IF($X59&lt;=$BW$9, $BM$9,$BN$9),
                       IF(OR($BL59=マスタ!$C$4, $BL59=マスタ!$C$5, $BL59=マスタ!$C$6, $BL59=マスタ!$C$7, $BL59=マスタ!$C$8),
                            IF($X59&lt;=$BX$9, $BM$9,$BN$9), ""))))</f>
        <v/>
      </c>
      <c r="AA59" s="71"/>
      <c r="AB59" s="71"/>
      <c r="AC59" s="71"/>
      <c r="AD59" s="165"/>
      <c r="AE59" s="71"/>
      <c r="AF59" s="165"/>
      <c r="AG59" s="92"/>
      <c r="AH59" s="92"/>
      <c r="AI59" s="92"/>
      <c r="AJ59" s="92"/>
      <c r="AK59" s="121"/>
      <c r="AL59" s="121"/>
      <c r="AM59" s="121"/>
      <c r="AN59" s="121"/>
      <c r="AO59" s="92"/>
      <c r="AP59" s="130" t="str">
        <f t="shared" si="5"/>
        <v/>
      </c>
      <c r="AQ59" s="121"/>
      <c r="AR59" s="101" t="str">
        <f>IF(OR(SUMPRODUCT(--(AJ59:AQ59&lt;&gt;""))&lt;7,AND($AJ59=マスタ!$N$3,$AK59="")), "",
        IF($AJ59=マスタ!$N$5, $BO$9,
              IF(OR($F59=マスタ!$C$3, $F59=マスタ!$C$4, $F59=マスタ!$C$5),
                    IF(SUM($AL59,$AM59,$AP59,$AQ59)&gt;=1, $BM$9, $BN$9),
              IF(OR($F59=マスタ!$C$6, $F59=マスタ!$C$7, $F59=マスタ!$C$8),
                    IF($AK59&lt;10, $BO$9,
                          IF(AND(SUM($AL59,$AM59,$AP59,$AQ59)&gt;=($AK59*0.2), $AM59+$AP59+$AQ59&gt;=1),
                               $BM$9,$BN$9))))))</f>
        <v/>
      </c>
      <c r="AS59" s="101" t="str">
        <f>IF(OR(SUMPRODUCT(--(AJ59:AQ59&lt;&gt;""))&lt;7,AND($AJ59=マスタ!$N$3,$AK59="")), "",
     IF($AR59=$BN$9,$BN$9,
        IF($AJ59=マスタ!$N$5, $BO$9,
             IF(OR($F59=マスタ!$C$3, $F59=マスタ!$C$4, $F59=マスタ!$C$5),
                   IF($AQ59&gt;=1, $BM$9, $BN$9),
             IF(OR($F59=マスタ!$C$6, $F59=マスタ!$C$7, $F59=マスタ!$C$8),
                   IF($AK59&lt;5, IF($AQ59&gt;=1, $BM$9, $BN$9),
                         IF(OR($AQ59&gt;=1,
                                    AND(SUM($AL59,$AM59,$AP59,$AQ59)&gt;=$AK59*0.5, ($AM59+$AP59+$AQ59)&gt;=($AK59*0.2))),
                              $BM$9,$BN$9)))))))</f>
        <v/>
      </c>
      <c r="AT59" s="66"/>
      <c r="AU59" s="143"/>
      <c r="AV59" s="98" t="str" cm="1">
        <f t="array" aca="1" ref="AV59" ca="1">IF(AND($F59:$G59&lt;&gt;"", $I59:$K59&lt;&gt;"",
                 IF(OR($M59=$BM$9,$O59=$BM$9), TRUE, $L59&lt;&gt;""),
                 $M59&lt;&gt;"",$O59&lt;&gt;"",
                 IF($T59=$BM$9, TRUE, $Q59:$R59&lt;&gt;""),
                 IF(AND($BL59&lt;&gt;"", $BL59&lt;&gt;マスタ!$C$5, $BL59&lt;&gt;マスタ!$C$8), TRUE, $T59&lt;&gt;""),
                 IF(OR(AND($T59=$BM$9,  $Y59=$BO$9), $Y59=$BM$9), TRUE,$W59&lt;&gt;""),
                 IF(AND($BL59&lt;&gt;"", $BL59&lt;&gt;マスタ!$C$5, $BL59&lt;&gt;マスタ!$C$8), TRUE, $Y59&lt;&gt;""),
                 $AA59&lt;&gt;"",
                 IF($AA59=マスタ!$F$4, TRUE, $AB59&lt;&gt;""),
                 $AG59:$AO59&lt;&gt;"", $AQ59&lt;&gt;"", $AT59&lt;&gt;""),
        "（正常）入力済み", IF($C59= "", "（複数入力）未入力", "（エラー）一部未入力"))</f>
        <v>（複数入力）未入力</v>
      </c>
      <c r="AW59" s="98" t="str">
        <f t="shared" ca="1" si="6"/>
        <v/>
      </c>
      <c r="AX59" s="98" t="str">
        <f t="shared" ca="1" si="22"/>
        <v/>
      </c>
      <c r="AY59" s="98" t="str">
        <f t="shared" ca="1" si="23"/>
        <v/>
      </c>
      <c r="AZ59" s="98" t="str">
        <f t="shared" ca="1" si="24"/>
        <v/>
      </c>
      <c r="BA59" s="98" t="str">
        <f t="shared" ca="1" si="25"/>
        <v/>
      </c>
      <c r="BB59" s="98" t="str">
        <f t="shared" ca="1" si="26"/>
        <v/>
      </c>
      <c r="BC59" s="98" t="str">
        <f t="shared" ca="1" si="27"/>
        <v/>
      </c>
      <c r="BD59" s="98" t="str">
        <f t="shared" ca="1" si="28"/>
        <v/>
      </c>
      <c r="BE59" s="98" t="str">
        <f>IF($BL59="","",
   IF($T59=入力不可用2,
      IF(OR($BL59=マスタ!$C$5,$BL59=マスタ!$C$8), "未入力", "（正常）規定値"),
      IF(OR($BL59=マスタ!$C$5,$BL59=マスタ!$C$8), "（正常）規定値", "（エラー）値入力不可")))</f>
        <v/>
      </c>
      <c r="BF59" s="98" t="str">
        <f ca="1">IF($C59 = "", "",
       IF(AND(OR($BL59=マスタ!$C$5, $BL59=マスタ!$C$8), $T59 = ""), "未入力",
            IF(AND($Y59 = $BM$9, $T59 = $BO$9), "（エラー）「適合」のみ入力可", "（正常）規定値")))</f>
        <v/>
      </c>
      <c r="BG59" s="98" t="str">
        <f t="shared" ca="1" si="29"/>
        <v/>
      </c>
      <c r="BH59" s="98" t="str">
        <f t="shared" ca="1" si="30"/>
        <v/>
      </c>
      <c r="BI59" s="98" t="str">
        <f>IF($BL59="","",
   IF($Y59=入力不可用2,
      IF(OR($BL59=マスタ!$C$5,$BL59=マスタ!$C$8), "未入力", "（正常）規定値"),
      IF(OR($BL59=マスタ!$C$5,$BL59=マスタ!$C$8), "（正常）規定値", "（エラー）値入力不可")))</f>
        <v/>
      </c>
      <c r="BJ59" s="98" t="str">
        <f>IF($AA59="", "",
        IF($AA59=マスタ!$F$3,
             IF($AB59="", "未入力", "（正常）規定値"),
                  IF($AA59=マスタ!$F$4,
                       IF($AB59&lt;&gt;入力不可用2, "（エラー）値入力不可", "（正常）規定値"))))</f>
        <v/>
      </c>
      <c r="BL59" s="75" t="str">
        <f>IF(OR($F59 = マスタ!$C$5, F59 = マスタ!$C$8), $F59,
        IF(AND($F59 = マスタ!$C$3, 'その１事業者基本情報_入力シート（一部非公開）'!$U$16), $F59,
             IF(AND($F59 = マスタ!$C$4, 'その１事業者基本情報_入力シート（一部非公開）'!$S$16), $F59,
                  IF(AND(OR($F59 = マスタ!$C$6, $F59 = マスタ!$C$7),
                                'その１事業者基本情報_入力シート（一部非公開）'!$W$16), $F59,
                       IF(OR($F59 = マスタ!$C$3, $F59=マスタ!$C$4), マスタ!$C$5,
                            IF(OR($F59 = マスタ!$C$6, $F59 = マスタ!$C$7), マスタ!$C$8, ""))))))</f>
        <v/>
      </c>
      <c r="BM59" s="75" t="str">
        <f>IF($L59&lt;&gt;"", $L59,
       IF($M59 = マスタ!$B$3,
          IF(OR($F59=マスタ!$C$3,$F59=マスタ!$C$4,$F59=マスタ!$C$5),
            IF(OR($G59 = マスタ!$D$54, $G59 = マスタ!$D$55), 0.75, 0.87),
            IF(OR($G59 = マスタ!$D$54, $G59 = マスタ!$D$55), 0.62, 0.72)),
                 IF(ISBLANK($L59), "", $L59)))</f>
        <v/>
      </c>
      <c r="BN59" s="99" t="str">
        <f>IF($L59&lt;&gt;"", $L59,
        IF($O59 = マスタ!$B$3,
          IF(OR($F59=マスタ!$C$3,$F59=マスタ!$C$4,$F59=マスタ!$C$5), 0.6, 0.5),
             IF(ISBLANK($L59), "", $L59)))</f>
        <v/>
      </c>
      <c r="BO59" s="99" t="str">
        <f>IF($T59&lt;&gt;マスタ!$B$3,
        IF(ISBLANK($S59),"",$S59),
             IF($BL59=マスタ!$C$3,0.8,
             IF($BL59=マスタ!$C$4,0.85,
             IF($BL59=マスタ!$C$6,0.9,
             IF($BL59=マスタ!$C$7,0.9,
             IF($BL59=マスタ!$C$5,1,
             IF($BL59=マスタ!$C$8,1,"無効な入力")))))))</f>
        <v/>
      </c>
      <c r="BP59" s="99" t="str">
        <f>IF($Y59&lt;&gt;マスタ!$B$3,
   IF(ISBLANK($X59), "", $X59),
   IF($BL59=マスタ!$C$3, 0.75,
      IF($BL59=マスタ!$C$4, 0.8,
         IF($BL59=マスタ!$C$6, 0.8,
            IF($BL59=マスタ!$C$7, 0.8,
               IF($BL59=マスタ!$C$5, 0.8,
                  IF($BL59=マスタ!$C$8, 0.8, "無効な入力")))))))</f>
        <v/>
      </c>
      <c r="BQ59" s="75"/>
      <c r="BR59" s="75"/>
      <c r="BS59" s="75"/>
      <c r="BT59" s="75"/>
      <c r="BU59" s="75"/>
      <c r="BV59" s="75"/>
      <c r="BW59" s="75"/>
      <c r="BX59" s="75"/>
      <c r="BY59" s="75"/>
    </row>
    <row r="60" spans="3:77" ht="30.75" customHeight="1">
      <c r="C60" s="69" t="str" cm="1">
        <f t="array" aca="1" ref="C60" ca="1">IF(SUMPRODUCT(--($D60:$AU60 &lt;&gt; "")),RIGHT(YEAR(TODAY()),2)&amp;"01"&amp;REPT("0",4-LEN(ROW()-11))&amp;ROW()-11,"")</f>
        <v/>
      </c>
      <c r="D60" s="141"/>
      <c r="E60" s="142"/>
      <c r="F60" s="71"/>
      <c r="G60" s="66"/>
      <c r="H60" s="41" t="str">
        <f>IFERROR(VLOOKUP(G60,マスタ!$D$3:$E$55,2,FALSE),"")</f>
        <v/>
      </c>
      <c r="I60" s="93"/>
      <c r="J60" s="77"/>
      <c r="K60" s="66"/>
      <c r="L60" s="103"/>
      <c r="M60" s="71"/>
      <c r="N60" s="101" t="str">
        <f>IF($M60 = $BM$9, $BM$9,
        IF($L60 = "", "",
              IF(OR(
                          AND(OR($G60 = マスタ!$D$54, $G60 = マスタ!$D$55), $L60 &lt;= $BP$9),
                          AND($G60 &lt;&gt; マスタ!$D$54, $G60 &lt;&gt; マスタ!$D$55, $L60 &lt;= $BQ$9)
                         ), $BM$9, $BN$9)))</f>
        <v/>
      </c>
      <c r="O60" s="71"/>
      <c r="P60" s="101" t="str">
        <f t="shared" si="21"/>
        <v/>
      </c>
      <c r="Q60" s="124"/>
      <c r="R60" s="124"/>
      <c r="S60" s="112" t="str">
        <f t="shared" si="19"/>
        <v/>
      </c>
      <c r="T60" s="71"/>
      <c r="U60" s="41" t="str">
        <f>IF($T60=$BM$9, $BM$9,
        IF($S60="", "",
             IF(OR(AND($BL60=マスタ!$C$3, $S60&lt;=$BS$9),
                        AND($BL60=マスタ!$C$4, $S60&lt;=$BT$9),
                        AND(OR($BL60=マスタ!$C$6, $BL60=マスタ!$C$7), $S60&lt;=$BU$9),
                        AND(OR($BL60=マスタ!$C$5, $BL60=マスタ!$C$8), $S60&lt;=$BV$9)),
                  $BM$9, $BN$9)))</f>
        <v/>
      </c>
      <c r="V60" s="129" t="str">
        <f t="shared" si="16"/>
        <v/>
      </c>
      <c r="W60" s="124"/>
      <c r="X60" s="112" t="str">
        <f t="shared" si="20"/>
        <v/>
      </c>
      <c r="Y60" s="71"/>
      <c r="Z60" s="41" t="str">
        <f>IF($Y60=$BM$9, $BM$9,
        IF(AND($T60 = $BM$9, $Y60 = $BO$9), $BN$9,
             IF($BL60=マスタ!$C$3,
                  IF($X60&lt;=$BW$9, $BM$9,$BN$9),
                       IF(OR($BL60=マスタ!$C$4, $BL60=マスタ!$C$5, $BL60=マスタ!$C$6, $BL60=マスタ!$C$7, $BL60=マスタ!$C$8),
                            IF($X60&lt;=$BX$9, $BM$9,$BN$9), ""))))</f>
        <v/>
      </c>
      <c r="AA60" s="71"/>
      <c r="AB60" s="71"/>
      <c r="AC60" s="71"/>
      <c r="AD60" s="165"/>
      <c r="AE60" s="71"/>
      <c r="AF60" s="165"/>
      <c r="AG60" s="92"/>
      <c r="AH60" s="92"/>
      <c r="AI60" s="92"/>
      <c r="AJ60" s="92"/>
      <c r="AK60" s="121"/>
      <c r="AL60" s="121"/>
      <c r="AM60" s="121"/>
      <c r="AN60" s="121"/>
      <c r="AO60" s="92"/>
      <c r="AP60" s="130" t="str">
        <f t="shared" si="5"/>
        <v/>
      </c>
      <c r="AQ60" s="121"/>
      <c r="AR60" s="101" t="str">
        <f>IF(OR(SUMPRODUCT(--(AJ60:AQ60&lt;&gt;""))&lt;7,AND($AJ60=マスタ!$N$3,$AK60="")), "",
        IF($AJ60=マスタ!$N$5, $BO$9,
              IF(OR($F60=マスタ!$C$3, $F60=マスタ!$C$4, $F60=マスタ!$C$5),
                    IF(SUM($AL60,$AM60,$AP60,$AQ60)&gt;=1, $BM$9, $BN$9),
              IF(OR($F60=マスタ!$C$6, $F60=マスタ!$C$7, $F60=マスタ!$C$8),
                    IF($AK60&lt;10, $BO$9,
                          IF(AND(SUM($AL60,$AM60,$AP60,$AQ60)&gt;=($AK60*0.2), $AM60+$AP60+$AQ60&gt;=1),
                               $BM$9,$BN$9))))))</f>
        <v/>
      </c>
      <c r="AS60" s="101" t="str">
        <f>IF(OR(SUMPRODUCT(--(AJ60:AQ60&lt;&gt;""))&lt;7,AND($AJ60=マスタ!$N$3,$AK60="")), "",
     IF($AR60=$BN$9,$BN$9,
        IF($AJ60=マスタ!$N$5, $BO$9,
             IF(OR($F60=マスタ!$C$3, $F60=マスタ!$C$4, $F60=マスタ!$C$5),
                   IF($AQ60&gt;=1, $BM$9, $BN$9),
             IF(OR($F60=マスタ!$C$6, $F60=マスタ!$C$7, $F60=マスタ!$C$8),
                   IF($AK60&lt;5, IF($AQ60&gt;=1, $BM$9, $BN$9),
                         IF(OR($AQ60&gt;=1,
                                    AND(SUM($AL60,$AM60,$AP60,$AQ60)&gt;=$AK60*0.5, ($AM60+$AP60+$AQ60)&gt;=($AK60*0.2))),
                              $BM$9,$BN$9)))))))</f>
        <v/>
      </c>
      <c r="AT60" s="66"/>
      <c r="AU60" s="143"/>
      <c r="AV60" s="98" t="str" cm="1">
        <f t="array" aca="1" ref="AV60" ca="1">IF(AND($F60:$G60&lt;&gt;"", $I60:$K60&lt;&gt;"",
                 IF(OR($M60=$BM$9,$O60=$BM$9), TRUE, $L60&lt;&gt;""),
                 $M60&lt;&gt;"",$O60&lt;&gt;"",
                 IF($T60=$BM$9, TRUE, $Q60:$R60&lt;&gt;""),
                 IF(AND($BL60&lt;&gt;"", $BL60&lt;&gt;マスタ!$C$5, $BL60&lt;&gt;マスタ!$C$8), TRUE, $T60&lt;&gt;""),
                 IF(OR(AND($T60=$BM$9,  $Y60=$BO$9), $Y60=$BM$9), TRUE,$W60&lt;&gt;""),
                 IF(AND($BL60&lt;&gt;"", $BL60&lt;&gt;マスタ!$C$5, $BL60&lt;&gt;マスタ!$C$8), TRUE, $Y60&lt;&gt;""),
                 $AA60&lt;&gt;"",
                 IF($AA60=マスタ!$F$4, TRUE, $AB60&lt;&gt;""),
                 $AG60:$AO60&lt;&gt;"", $AQ60&lt;&gt;"", $AT60&lt;&gt;""),
        "（正常）入力済み", IF($C60= "", "（複数入力）未入力", "（エラー）一部未入力"))</f>
        <v>（複数入力）未入力</v>
      </c>
      <c r="AW60" s="98" t="str">
        <f t="shared" ca="1" si="6"/>
        <v/>
      </c>
      <c r="AX60" s="98" t="str">
        <f t="shared" ca="1" si="22"/>
        <v/>
      </c>
      <c r="AY60" s="98" t="str">
        <f t="shared" ca="1" si="23"/>
        <v/>
      </c>
      <c r="AZ60" s="98" t="str">
        <f t="shared" ca="1" si="24"/>
        <v/>
      </c>
      <c r="BA60" s="98" t="str">
        <f t="shared" ca="1" si="25"/>
        <v/>
      </c>
      <c r="BB60" s="98" t="str">
        <f t="shared" ca="1" si="26"/>
        <v/>
      </c>
      <c r="BC60" s="98" t="str">
        <f t="shared" ca="1" si="27"/>
        <v/>
      </c>
      <c r="BD60" s="98" t="str">
        <f t="shared" ca="1" si="28"/>
        <v/>
      </c>
      <c r="BE60" s="98" t="str">
        <f>IF($BL60="","",
   IF($T60=入力不可用2,
      IF(OR($BL60=マスタ!$C$5,$BL60=マスタ!$C$8), "未入力", "（正常）規定値"),
      IF(OR($BL60=マスタ!$C$5,$BL60=マスタ!$C$8), "（正常）規定値", "（エラー）値入力不可")))</f>
        <v/>
      </c>
      <c r="BF60" s="98" t="str">
        <f ca="1">IF($C60 = "", "",
       IF(AND(OR($BL60=マスタ!$C$5, $BL60=マスタ!$C$8), $T60 = ""), "未入力",
            IF(AND($Y60 = $BM$9, $T60 = $BO$9), "（エラー）「適合」のみ入力可", "（正常）規定値")))</f>
        <v/>
      </c>
      <c r="BG60" s="98" t="str">
        <f t="shared" ca="1" si="29"/>
        <v/>
      </c>
      <c r="BH60" s="98" t="str">
        <f t="shared" ca="1" si="30"/>
        <v/>
      </c>
      <c r="BI60" s="98" t="str">
        <f>IF($BL60="","",
   IF($Y60=入力不可用2,
      IF(OR($BL60=マスタ!$C$5,$BL60=マスタ!$C$8), "未入力", "（正常）規定値"),
      IF(OR($BL60=マスタ!$C$5,$BL60=マスタ!$C$8), "（正常）規定値", "（エラー）値入力不可")))</f>
        <v/>
      </c>
      <c r="BJ60" s="98" t="str">
        <f>IF($AA60="", "",
        IF($AA60=マスタ!$F$3,
             IF($AB60="", "未入力", "（正常）規定値"),
                  IF($AA60=マスタ!$F$4,
                       IF($AB60&lt;&gt;入力不可用2, "（エラー）値入力不可", "（正常）規定値"))))</f>
        <v/>
      </c>
      <c r="BL60" s="75" t="str">
        <f>IF(OR($F60 = マスタ!$C$5, F60 = マスタ!$C$8), $F60,
        IF(AND($F60 = マスタ!$C$3, 'その１事業者基本情報_入力シート（一部非公開）'!$U$16), $F60,
             IF(AND($F60 = マスタ!$C$4, 'その１事業者基本情報_入力シート（一部非公開）'!$S$16), $F60,
                  IF(AND(OR($F60 = マスタ!$C$6, $F60 = マスタ!$C$7),
                                'その１事業者基本情報_入力シート（一部非公開）'!$W$16), $F60,
                       IF(OR($F60 = マスタ!$C$3, $F60=マスタ!$C$4), マスタ!$C$5,
                            IF(OR($F60 = マスタ!$C$6, $F60 = マスタ!$C$7), マスタ!$C$8, ""))))))</f>
        <v/>
      </c>
      <c r="BM60" s="75" t="str">
        <f>IF($L60&lt;&gt;"", $L60,
       IF($M60 = マスタ!$B$3,
          IF(OR($F60=マスタ!$C$3,$F60=マスタ!$C$4,$F60=マスタ!$C$5),
            IF(OR($G60 = マスタ!$D$54, $G60 = マスタ!$D$55), 0.75, 0.87),
            IF(OR($G60 = マスタ!$D$54, $G60 = マスタ!$D$55), 0.62, 0.72)),
                 IF(ISBLANK($L60), "", $L60)))</f>
        <v/>
      </c>
      <c r="BN60" s="99" t="str">
        <f>IF($L60&lt;&gt;"", $L60,
        IF($O60 = マスタ!$B$3,
          IF(OR($F60=マスタ!$C$3,$F60=マスタ!$C$4,$F60=マスタ!$C$5), 0.6, 0.5),
             IF(ISBLANK($L60), "", $L60)))</f>
        <v/>
      </c>
      <c r="BO60" s="99" t="str">
        <f>IF($T60&lt;&gt;マスタ!$B$3,
        IF(ISBLANK($S60),"",$S60),
             IF($BL60=マスタ!$C$3,0.8,
             IF($BL60=マスタ!$C$4,0.85,
             IF($BL60=マスタ!$C$6,0.9,
             IF($BL60=マスタ!$C$7,0.9,
             IF($BL60=マスタ!$C$5,1,
             IF($BL60=マスタ!$C$8,1,"無効な入力")))))))</f>
        <v/>
      </c>
      <c r="BP60" s="99" t="str">
        <f>IF($Y60&lt;&gt;マスタ!$B$3,
   IF(ISBLANK($X60), "", $X60),
   IF($BL60=マスタ!$C$3, 0.75,
      IF($BL60=マスタ!$C$4, 0.8,
         IF($BL60=マスタ!$C$6, 0.8,
            IF($BL60=マスタ!$C$7, 0.8,
               IF($BL60=マスタ!$C$5, 0.8,
                  IF($BL60=マスタ!$C$8, 0.8, "無効な入力")))))))</f>
        <v/>
      </c>
      <c r="BQ60" s="75"/>
      <c r="BR60" s="75"/>
      <c r="BS60" s="75"/>
      <c r="BT60" s="75"/>
      <c r="BU60" s="75"/>
      <c r="BV60" s="75"/>
      <c r="BW60" s="75"/>
      <c r="BX60" s="75"/>
      <c r="BY60" s="75"/>
    </row>
    <row r="61" spans="3:77" ht="30.75" customHeight="1">
      <c r="C61" s="69" t="str" cm="1">
        <f t="array" aca="1" ref="C61" ca="1">IF(SUMPRODUCT(--($D61:$AU61 &lt;&gt; "")),RIGHT(YEAR(TODAY()),2)&amp;"01"&amp;REPT("0",4-LEN(ROW()-11))&amp;ROW()-11,"")</f>
        <v/>
      </c>
      <c r="D61" s="141"/>
      <c r="E61" s="142"/>
      <c r="F61" s="71"/>
      <c r="G61" s="66"/>
      <c r="H61" s="41" t="str">
        <f>IFERROR(VLOOKUP(G61,マスタ!$D$3:$E$55,2,FALSE),"")</f>
        <v/>
      </c>
      <c r="I61" s="93"/>
      <c r="J61" s="77"/>
      <c r="K61" s="66"/>
      <c r="L61" s="103"/>
      <c r="M61" s="71"/>
      <c r="N61" s="101" t="str">
        <f>IF($M61 = $BM$9, $BM$9,
        IF($L61 = "", "",
              IF(OR(
                          AND(OR($G61 = マスタ!$D$54, $G61 = マスタ!$D$55), $L61 &lt;= $BP$9),
                          AND($G61 &lt;&gt; マスタ!$D$54, $G61 &lt;&gt; マスタ!$D$55, $L61 &lt;= $BQ$9)
                         ), $BM$9, $BN$9)))</f>
        <v/>
      </c>
      <c r="O61" s="71"/>
      <c r="P61" s="101" t="str">
        <f t="shared" si="21"/>
        <v/>
      </c>
      <c r="Q61" s="124"/>
      <c r="R61" s="124"/>
      <c r="S61" s="112" t="str">
        <f t="shared" si="19"/>
        <v/>
      </c>
      <c r="T61" s="71"/>
      <c r="U61" s="41" t="str">
        <f>IF($T61=$BM$9, $BM$9,
        IF($S61="", "",
             IF(OR(AND($BL61=マスタ!$C$3, $S61&lt;=$BS$9),
                        AND($BL61=マスタ!$C$4, $S61&lt;=$BT$9),
                        AND(OR($BL61=マスタ!$C$6, $BL61=マスタ!$C$7), $S61&lt;=$BU$9),
                        AND(OR($BL61=マスタ!$C$5, $BL61=マスタ!$C$8), $S61&lt;=$BV$9)),
                  $BM$9, $BN$9)))</f>
        <v/>
      </c>
      <c r="V61" s="129" t="str">
        <f t="shared" si="16"/>
        <v/>
      </c>
      <c r="W61" s="124"/>
      <c r="X61" s="112" t="str">
        <f t="shared" si="20"/>
        <v/>
      </c>
      <c r="Y61" s="71"/>
      <c r="Z61" s="41" t="str">
        <f>IF($Y61=$BM$9, $BM$9,
        IF(AND($T61 = $BM$9, $Y61 = $BO$9), $BN$9,
             IF($BL61=マスタ!$C$3,
                  IF($X61&lt;=$BW$9, $BM$9,$BN$9),
                       IF(OR($BL61=マスタ!$C$4, $BL61=マスタ!$C$5, $BL61=マスタ!$C$6, $BL61=マスタ!$C$7, $BL61=マスタ!$C$8),
                            IF($X61&lt;=$BX$9, $BM$9,$BN$9), ""))))</f>
        <v/>
      </c>
      <c r="AA61" s="71"/>
      <c r="AB61" s="71"/>
      <c r="AC61" s="71"/>
      <c r="AD61" s="165"/>
      <c r="AE61" s="71"/>
      <c r="AF61" s="165"/>
      <c r="AG61" s="92"/>
      <c r="AH61" s="92"/>
      <c r="AI61" s="92"/>
      <c r="AJ61" s="92"/>
      <c r="AK61" s="121"/>
      <c r="AL61" s="121"/>
      <c r="AM61" s="121"/>
      <c r="AN61" s="121"/>
      <c r="AO61" s="92"/>
      <c r="AP61" s="130" t="str">
        <f t="shared" si="5"/>
        <v/>
      </c>
      <c r="AQ61" s="121"/>
      <c r="AR61" s="101" t="str">
        <f>IF(OR(SUMPRODUCT(--(AJ61:AQ61&lt;&gt;""))&lt;7,AND($AJ61=マスタ!$N$3,$AK61="")), "",
        IF($AJ61=マスタ!$N$5, $BO$9,
              IF(OR($F61=マスタ!$C$3, $F61=マスタ!$C$4, $F61=マスタ!$C$5),
                    IF(SUM($AL61,$AM61,$AP61,$AQ61)&gt;=1, $BM$9, $BN$9),
              IF(OR($F61=マスタ!$C$6, $F61=マスタ!$C$7, $F61=マスタ!$C$8),
                    IF($AK61&lt;10, $BO$9,
                          IF(AND(SUM($AL61,$AM61,$AP61,$AQ61)&gt;=($AK61*0.2), $AM61+$AP61+$AQ61&gt;=1),
                               $BM$9,$BN$9))))))</f>
        <v/>
      </c>
      <c r="AS61" s="101" t="str">
        <f>IF(OR(SUMPRODUCT(--(AJ61:AQ61&lt;&gt;""))&lt;7,AND($AJ61=マスタ!$N$3,$AK61="")), "",
     IF($AR61=$BN$9,$BN$9,
        IF($AJ61=マスタ!$N$5, $BO$9,
             IF(OR($F61=マスタ!$C$3, $F61=マスタ!$C$4, $F61=マスタ!$C$5),
                   IF($AQ61&gt;=1, $BM$9, $BN$9),
             IF(OR($F61=マスタ!$C$6, $F61=マスタ!$C$7, $F61=マスタ!$C$8),
                   IF($AK61&lt;5, IF($AQ61&gt;=1, $BM$9, $BN$9),
                         IF(OR($AQ61&gt;=1,
                                    AND(SUM($AL61,$AM61,$AP61,$AQ61)&gt;=$AK61*0.5, ($AM61+$AP61+$AQ61)&gt;=($AK61*0.2))),
                              $BM$9,$BN$9)))))))</f>
        <v/>
      </c>
      <c r="AT61" s="66"/>
      <c r="AU61" s="143"/>
      <c r="AV61" s="98" t="str" cm="1">
        <f t="array" aca="1" ref="AV61" ca="1">IF(AND($F61:$G61&lt;&gt;"", $I61:$K61&lt;&gt;"",
                 IF(OR($M61=$BM$9,$O61=$BM$9), TRUE, $L61&lt;&gt;""),
                 $M61&lt;&gt;"",$O61&lt;&gt;"",
                 IF($T61=$BM$9, TRUE, $Q61:$R61&lt;&gt;""),
                 IF(AND($BL61&lt;&gt;"", $BL61&lt;&gt;マスタ!$C$5, $BL61&lt;&gt;マスタ!$C$8), TRUE, $T61&lt;&gt;""),
                 IF(OR(AND($T61=$BM$9,  $Y61=$BO$9), $Y61=$BM$9), TRUE,$W61&lt;&gt;""),
                 IF(AND($BL61&lt;&gt;"", $BL61&lt;&gt;マスタ!$C$5, $BL61&lt;&gt;マスタ!$C$8), TRUE, $Y61&lt;&gt;""),
                 $AA61&lt;&gt;"",
                 IF($AA61=マスタ!$F$4, TRUE, $AB61&lt;&gt;""),
                 $AG61:$AO61&lt;&gt;"", $AQ61&lt;&gt;"", $AT61&lt;&gt;""),
        "（正常）入力済み", IF($C61= "", "（複数入力）未入力", "（エラー）一部未入力"))</f>
        <v>（複数入力）未入力</v>
      </c>
      <c r="AW61" s="98" t="str">
        <f t="shared" ca="1" si="6"/>
        <v/>
      </c>
      <c r="AX61" s="98" t="str">
        <f t="shared" ca="1" si="22"/>
        <v/>
      </c>
      <c r="AY61" s="98" t="str">
        <f t="shared" ca="1" si="23"/>
        <v/>
      </c>
      <c r="AZ61" s="98" t="str">
        <f t="shared" ca="1" si="24"/>
        <v/>
      </c>
      <c r="BA61" s="98" t="str">
        <f t="shared" ca="1" si="25"/>
        <v/>
      </c>
      <c r="BB61" s="98" t="str">
        <f t="shared" ca="1" si="26"/>
        <v/>
      </c>
      <c r="BC61" s="98" t="str">
        <f t="shared" ca="1" si="27"/>
        <v/>
      </c>
      <c r="BD61" s="98" t="str">
        <f t="shared" ca="1" si="28"/>
        <v/>
      </c>
      <c r="BE61" s="98" t="str">
        <f>IF($BL61="","",
   IF($T61=入力不可用2,
      IF(OR($BL61=マスタ!$C$5,$BL61=マスタ!$C$8), "未入力", "（正常）規定値"),
      IF(OR($BL61=マスタ!$C$5,$BL61=マスタ!$C$8), "（正常）規定値", "（エラー）値入力不可")))</f>
        <v/>
      </c>
      <c r="BF61" s="98" t="str">
        <f ca="1">IF($C61 = "", "",
       IF(AND(OR($BL61=マスタ!$C$5, $BL61=マスタ!$C$8), $T61 = ""), "未入力",
            IF(AND($Y61 = $BM$9, $T61 = $BO$9), "（エラー）「適合」のみ入力可", "（正常）規定値")))</f>
        <v/>
      </c>
      <c r="BG61" s="98" t="str">
        <f t="shared" ca="1" si="29"/>
        <v/>
      </c>
      <c r="BH61" s="98" t="str">
        <f t="shared" ca="1" si="30"/>
        <v/>
      </c>
      <c r="BI61" s="98" t="str">
        <f>IF($BL61="","",
   IF($Y61=入力不可用2,
      IF(OR($BL61=マスタ!$C$5,$BL61=マスタ!$C$8), "未入力", "（正常）規定値"),
      IF(OR($BL61=マスタ!$C$5,$BL61=マスタ!$C$8), "（正常）規定値", "（エラー）値入力不可")))</f>
        <v/>
      </c>
      <c r="BJ61" s="98" t="str">
        <f>IF($AA61="", "",
        IF($AA61=マスタ!$F$3,
             IF($AB61="", "未入力", "（正常）規定値"),
                  IF($AA61=マスタ!$F$4,
                       IF($AB61&lt;&gt;入力不可用2, "（エラー）値入力不可", "（正常）規定値"))))</f>
        <v/>
      </c>
      <c r="BL61" s="75" t="str">
        <f>IF(OR($F61 = マスタ!$C$5, F61 = マスタ!$C$8), $F61,
        IF(AND($F61 = マスタ!$C$3, 'その１事業者基本情報_入力シート（一部非公開）'!$U$16), $F61,
             IF(AND($F61 = マスタ!$C$4, 'その１事業者基本情報_入力シート（一部非公開）'!$S$16), $F61,
                  IF(AND(OR($F61 = マスタ!$C$6, $F61 = マスタ!$C$7),
                                'その１事業者基本情報_入力シート（一部非公開）'!$W$16), $F61,
                       IF(OR($F61 = マスタ!$C$3, $F61=マスタ!$C$4), マスタ!$C$5,
                            IF(OR($F61 = マスタ!$C$6, $F61 = マスタ!$C$7), マスタ!$C$8, ""))))))</f>
        <v/>
      </c>
      <c r="BM61" s="75" t="str">
        <f>IF($L61&lt;&gt;"", $L61,
       IF($M61 = マスタ!$B$3,
          IF(OR($F61=マスタ!$C$3,$F61=マスタ!$C$4,$F61=マスタ!$C$5),
            IF(OR($G61 = マスタ!$D$54, $G61 = マスタ!$D$55), 0.75, 0.87),
            IF(OR($G61 = マスタ!$D$54, $G61 = マスタ!$D$55), 0.62, 0.72)),
                 IF(ISBLANK($L61), "", $L61)))</f>
        <v/>
      </c>
      <c r="BN61" s="99" t="str">
        <f>IF($L61&lt;&gt;"", $L61,
        IF($O61 = マスタ!$B$3,
          IF(OR($F61=マスタ!$C$3,$F61=マスタ!$C$4,$F61=マスタ!$C$5), 0.6, 0.5),
             IF(ISBLANK($L61), "", $L61)))</f>
        <v/>
      </c>
      <c r="BO61" s="99" t="str">
        <f>IF($T61&lt;&gt;マスタ!$B$3,
        IF(ISBLANK($S61),"",$S61),
             IF($BL61=マスタ!$C$3,0.8,
             IF($BL61=マスタ!$C$4,0.85,
             IF($BL61=マスタ!$C$6,0.9,
             IF($BL61=マスタ!$C$7,0.9,
             IF($BL61=マスタ!$C$5,1,
             IF($BL61=マスタ!$C$8,1,"無効な入力")))))))</f>
        <v/>
      </c>
      <c r="BP61" s="99" t="str">
        <f>IF($Y61&lt;&gt;マスタ!$B$3,
   IF(ISBLANK($X61), "", $X61),
   IF($BL61=マスタ!$C$3, 0.75,
      IF($BL61=マスタ!$C$4, 0.8,
         IF($BL61=マスタ!$C$6, 0.8,
            IF($BL61=マスタ!$C$7, 0.8,
               IF($BL61=マスタ!$C$5, 0.8,
                  IF($BL61=マスタ!$C$8, 0.8, "無効な入力")))))))</f>
        <v/>
      </c>
      <c r="BQ61" s="75"/>
      <c r="BR61" s="75"/>
      <c r="BS61" s="75"/>
      <c r="BT61" s="75"/>
      <c r="BU61" s="75"/>
      <c r="BV61" s="75"/>
      <c r="BW61" s="75"/>
      <c r="BX61" s="75"/>
      <c r="BY61" s="75"/>
    </row>
    <row r="62" spans="3:77" ht="30.75" customHeight="1">
      <c r="C62" s="69" t="str" cm="1">
        <f t="array" aca="1" ref="C62" ca="1">IF(SUMPRODUCT(--($D62:$AU62 &lt;&gt; "")),RIGHT(YEAR(TODAY()),2)&amp;"01"&amp;REPT("0",4-LEN(ROW()-11))&amp;ROW()-11,"")</f>
        <v/>
      </c>
      <c r="D62" s="141"/>
      <c r="E62" s="142"/>
      <c r="F62" s="71"/>
      <c r="G62" s="66"/>
      <c r="H62" s="41" t="str">
        <f>IFERROR(VLOOKUP(G62,マスタ!$D$3:$E$55,2,FALSE),"")</f>
        <v/>
      </c>
      <c r="I62" s="93"/>
      <c r="J62" s="77"/>
      <c r="K62" s="66"/>
      <c r="L62" s="103"/>
      <c r="M62" s="71"/>
      <c r="N62" s="101" t="str">
        <f>IF($M62 = $BM$9, $BM$9,
        IF($L62 = "", "",
              IF(OR(
                          AND(OR($G62 = マスタ!$D$54, $G62 = マスタ!$D$55), $L62 &lt;= $BP$9),
                          AND($G62 &lt;&gt; マスタ!$D$54, $G62 &lt;&gt; マスタ!$D$55, $L62 &lt;= $BQ$9)
                         ), $BM$9, $BN$9)))</f>
        <v/>
      </c>
      <c r="O62" s="71"/>
      <c r="P62" s="101" t="str">
        <f t="shared" si="21"/>
        <v/>
      </c>
      <c r="Q62" s="124"/>
      <c r="R62" s="124"/>
      <c r="S62" s="112" t="str">
        <f t="shared" si="19"/>
        <v/>
      </c>
      <c r="T62" s="71"/>
      <c r="U62" s="41" t="str">
        <f>IF($T62=$BM$9, $BM$9,
        IF($S62="", "",
             IF(OR(AND($BL62=マスタ!$C$3, $S62&lt;=$BS$9),
                        AND($BL62=マスタ!$C$4, $S62&lt;=$BT$9),
                        AND(OR($BL62=マスタ!$C$6, $BL62=マスタ!$C$7), $S62&lt;=$BU$9),
                        AND(OR($BL62=マスタ!$C$5, $BL62=マスタ!$C$8), $S62&lt;=$BV$9)),
                  $BM$9, $BN$9)))</f>
        <v/>
      </c>
      <c r="V62" s="129" t="str">
        <f t="shared" si="16"/>
        <v/>
      </c>
      <c r="W62" s="124"/>
      <c r="X62" s="112" t="str">
        <f t="shared" si="20"/>
        <v/>
      </c>
      <c r="Y62" s="71"/>
      <c r="Z62" s="41" t="str">
        <f>IF($Y62=$BM$9, $BM$9,
        IF(AND($T62 = $BM$9, $Y62 = $BO$9), $BN$9,
             IF($BL62=マスタ!$C$3,
                  IF($X62&lt;=$BW$9, $BM$9,$BN$9),
                       IF(OR($BL62=マスタ!$C$4, $BL62=マスタ!$C$5, $BL62=マスタ!$C$6, $BL62=マスタ!$C$7, $BL62=マスタ!$C$8),
                            IF($X62&lt;=$BX$9, $BM$9,$BN$9), ""))))</f>
        <v/>
      </c>
      <c r="AA62" s="71"/>
      <c r="AB62" s="71"/>
      <c r="AC62" s="71"/>
      <c r="AD62" s="165"/>
      <c r="AE62" s="71"/>
      <c r="AF62" s="165"/>
      <c r="AG62" s="92"/>
      <c r="AH62" s="92"/>
      <c r="AI62" s="92"/>
      <c r="AJ62" s="92"/>
      <c r="AK62" s="121"/>
      <c r="AL62" s="121"/>
      <c r="AM62" s="121"/>
      <c r="AN62" s="121"/>
      <c r="AO62" s="92"/>
      <c r="AP62" s="130" t="str">
        <f t="shared" si="5"/>
        <v/>
      </c>
      <c r="AQ62" s="121"/>
      <c r="AR62" s="101" t="str">
        <f>IF(OR(SUMPRODUCT(--(AJ62:AQ62&lt;&gt;""))&lt;7,AND($AJ62=マスタ!$N$3,$AK62="")), "",
        IF($AJ62=マスタ!$N$5, $BO$9,
              IF(OR($F62=マスタ!$C$3, $F62=マスタ!$C$4, $F62=マスタ!$C$5),
                    IF(SUM($AL62,$AM62,$AP62,$AQ62)&gt;=1, $BM$9, $BN$9),
              IF(OR($F62=マスタ!$C$6, $F62=マスタ!$C$7, $F62=マスタ!$C$8),
                    IF($AK62&lt;10, $BO$9,
                          IF(AND(SUM($AL62,$AM62,$AP62,$AQ62)&gt;=($AK62*0.2), $AM62+$AP62+$AQ62&gt;=1),
                               $BM$9,$BN$9))))))</f>
        <v/>
      </c>
      <c r="AS62" s="101" t="str">
        <f>IF(OR(SUMPRODUCT(--(AJ62:AQ62&lt;&gt;""))&lt;7,AND($AJ62=マスタ!$N$3,$AK62="")), "",
     IF($AR62=$BN$9,$BN$9,
        IF($AJ62=マスタ!$N$5, $BO$9,
             IF(OR($F62=マスタ!$C$3, $F62=マスタ!$C$4, $F62=マスタ!$C$5),
                   IF($AQ62&gt;=1, $BM$9, $BN$9),
             IF(OR($F62=マスタ!$C$6, $F62=マスタ!$C$7, $F62=マスタ!$C$8),
                   IF($AK62&lt;5, IF($AQ62&gt;=1, $BM$9, $BN$9),
                         IF(OR($AQ62&gt;=1,
                                    AND(SUM($AL62,$AM62,$AP62,$AQ62)&gt;=$AK62*0.5, ($AM62+$AP62+$AQ62)&gt;=($AK62*0.2))),
                              $BM$9,$BN$9)))))))</f>
        <v/>
      </c>
      <c r="AT62" s="66"/>
      <c r="AU62" s="143"/>
      <c r="AV62" s="98" t="str" cm="1">
        <f t="array" aca="1" ref="AV62" ca="1">IF(AND($F62:$G62&lt;&gt;"", $I62:$K62&lt;&gt;"",
                 IF(OR($M62=$BM$9,$O62=$BM$9), TRUE, $L62&lt;&gt;""),
                 $M62&lt;&gt;"",$O62&lt;&gt;"",
                 IF($T62=$BM$9, TRUE, $Q62:$R62&lt;&gt;""),
                 IF(AND($BL62&lt;&gt;"", $BL62&lt;&gt;マスタ!$C$5, $BL62&lt;&gt;マスタ!$C$8), TRUE, $T62&lt;&gt;""),
                 IF(OR(AND($T62=$BM$9,  $Y62=$BO$9), $Y62=$BM$9), TRUE,$W62&lt;&gt;""),
                 IF(AND($BL62&lt;&gt;"", $BL62&lt;&gt;マスタ!$C$5, $BL62&lt;&gt;マスタ!$C$8), TRUE, $Y62&lt;&gt;""),
                 $AA62&lt;&gt;"",
                 IF($AA62=マスタ!$F$4, TRUE, $AB62&lt;&gt;""),
                 $AG62:$AO62&lt;&gt;"", $AQ62&lt;&gt;"", $AT62&lt;&gt;""),
        "（正常）入力済み", IF($C62= "", "（複数入力）未入力", "（エラー）一部未入力"))</f>
        <v>（複数入力）未入力</v>
      </c>
      <c r="AW62" s="98" t="str">
        <f t="shared" ca="1" si="6"/>
        <v/>
      </c>
      <c r="AX62" s="98" t="str">
        <f t="shared" ca="1" si="22"/>
        <v/>
      </c>
      <c r="AY62" s="98" t="str">
        <f t="shared" ca="1" si="23"/>
        <v/>
      </c>
      <c r="AZ62" s="98" t="str">
        <f t="shared" ca="1" si="24"/>
        <v/>
      </c>
      <c r="BA62" s="98" t="str">
        <f t="shared" ca="1" si="25"/>
        <v/>
      </c>
      <c r="BB62" s="98" t="str">
        <f t="shared" ca="1" si="26"/>
        <v/>
      </c>
      <c r="BC62" s="98" t="str">
        <f t="shared" ca="1" si="27"/>
        <v/>
      </c>
      <c r="BD62" s="98" t="str">
        <f t="shared" ca="1" si="28"/>
        <v/>
      </c>
      <c r="BE62" s="98" t="str">
        <f>IF($BL62="","",
   IF($T62=入力不可用2,
      IF(OR($BL62=マスタ!$C$5,$BL62=マスタ!$C$8), "未入力", "（正常）規定値"),
      IF(OR($BL62=マスタ!$C$5,$BL62=マスタ!$C$8), "（正常）規定値", "（エラー）値入力不可")))</f>
        <v/>
      </c>
      <c r="BF62" s="98" t="str">
        <f ca="1">IF($C62 = "", "",
       IF(AND(OR($BL62=マスタ!$C$5, $BL62=マスタ!$C$8), $T62 = ""), "未入力",
            IF(AND($Y62 = $BM$9, $T62 = $BO$9), "（エラー）「適合」のみ入力可", "（正常）規定値")))</f>
        <v/>
      </c>
      <c r="BG62" s="98" t="str">
        <f t="shared" ca="1" si="29"/>
        <v/>
      </c>
      <c r="BH62" s="98" t="str">
        <f t="shared" ca="1" si="30"/>
        <v/>
      </c>
      <c r="BI62" s="98" t="str">
        <f>IF($BL62="","",
   IF($Y62=入力不可用2,
      IF(OR($BL62=マスタ!$C$5,$BL62=マスタ!$C$8), "未入力", "（正常）規定値"),
      IF(OR($BL62=マスタ!$C$5,$BL62=マスタ!$C$8), "（正常）規定値", "（エラー）値入力不可")))</f>
        <v/>
      </c>
      <c r="BJ62" s="98" t="str">
        <f>IF($AA62="", "",
        IF($AA62=マスタ!$F$3,
             IF($AB62="", "未入力", "（正常）規定値"),
                  IF($AA62=マスタ!$F$4,
                       IF($AB62&lt;&gt;入力不可用2, "（エラー）値入力不可", "（正常）規定値"))))</f>
        <v/>
      </c>
      <c r="BL62" s="75" t="str">
        <f>IF(OR($F62 = マスタ!$C$5, F62 = マスタ!$C$8), $F62,
        IF(AND($F62 = マスタ!$C$3, 'その１事業者基本情報_入力シート（一部非公開）'!$U$16), $F62,
             IF(AND($F62 = マスタ!$C$4, 'その１事業者基本情報_入力シート（一部非公開）'!$S$16), $F62,
                  IF(AND(OR($F62 = マスタ!$C$6, $F62 = マスタ!$C$7),
                                'その１事業者基本情報_入力シート（一部非公開）'!$W$16), $F62,
                       IF(OR($F62 = マスタ!$C$3, $F62=マスタ!$C$4), マスタ!$C$5,
                            IF(OR($F62 = マスタ!$C$6, $F62 = マスタ!$C$7), マスタ!$C$8, ""))))))</f>
        <v/>
      </c>
      <c r="BM62" s="75" t="str">
        <f>IF($L62&lt;&gt;"", $L62,
       IF($M62 = マスタ!$B$3,
          IF(OR($F62=マスタ!$C$3,$F62=マスタ!$C$4,$F62=マスタ!$C$5),
            IF(OR($G62 = マスタ!$D$54, $G62 = マスタ!$D$55), 0.75, 0.87),
            IF(OR($G62 = マスタ!$D$54, $G62 = マスタ!$D$55), 0.62, 0.72)),
                 IF(ISBLANK($L62), "", $L62)))</f>
        <v/>
      </c>
      <c r="BN62" s="99" t="str">
        <f>IF($L62&lt;&gt;"", $L62,
        IF($O62 = マスタ!$B$3,
          IF(OR($F62=マスタ!$C$3,$F62=マスタ!$C$4,$F62=マスタ!$C$5), 0.6, 0.5),
             IF(ISBLANK($L62), "", $L62)))</f>
        <v/>
      </c>
      <c r="BO62" s="99" t="str">
        <f>IF($T62&lt;&gt;マスタ!$B$3,
        IF(ISBLANK($S62),"",$S62),
             IF($BL62=マスタ!$C$3,0.8,
             IF($BL62=マスタ!$C$4,0.85,
             IF($BL62=マスタ!$C$6,0.9,
             IF($BL62=マスタ!$C$7,0.9,
             IF($BL62=マスタ!$C$5,1,
             IF($BL62=マスタ!$C$8,1,"無効な入力")))))))</f>
        <v/>
      </c>
      <c r="BP62" s="99" t="str">
        <f>IF($Y62&lt;&gt;マスタ!$B$3,
   IF(ISBLANK($X62), "", $X62),
   IF($BL62=マスタ!$C$3, 0.75,
      IF($BL62=マスタ!$C$4, 0.8,
         IF($BL62=マスタ!$C$6, 0.8,
            IF($BL62=マスタ!$C$7, 0.8,
               IF($BL62=マスタ!$C$5, 0.8,
                  IF($BL62=マスタ!$C$8, 0.8, "無効な入力")))))))</f>
        <v/>
      </c>
      <c r="BQ62" s="75"/>
      <c r="BR62" s="75"/>
      <c r="BS62" s="75"/>
      <c r="BT62" s="75"/>
      <c r="BU62" s="75"/>
      <c r="BV62" s="75"/>
      <c r="BW62" s="75"/>
      <c r="BX62" s="75"/>
      <c r="BY62" s="75"/>
    </row>
    <row r="63" spans="3:77" ht="30.75" customHeight="1">
      <c r="C63" s="69" t="str" cm="1">
        <f t="array" aca="1" ref="C63" ca="1">IF(SUMPRODUCT(--($D63:$AU63 &lt;&gt; "")),RIGHT(YEAR(TODAY()),2)&amp;"01"&amp;REPT("0",4-LEN(ROW()-11))&amp;ROW()-11,"")</f>
        <v/>
      </c>
      <c r="D63" s="141"/>
      <c r="E63" s="142"/>
      <c r="F63" s="71"/>
      <c r="G63" s="66"/>
      <c r="H63" s="41" t="str">
        <f>IFERROR(VLOOKUP(G63,マスタ!$D$3:$E$55,2,FALSE),"")</f>
        <v/>
      </c>
      <c r="I63" s="93"/>
      <c r="J63" s="77"/>
      <c r="K63" s="66"/>
      <c r="L63" s="103"/>
      <c r="M63" s="71"/>
      <c r="N63" s="101" t="str">
        <f>IF($M63 = $BM$9, $BM$9,
        IF($L63 = "", "",
              IF(OR(
                          AND(OR($G63 = マスタ!$D$54, $G63 = マスタ!$D$55), $L63 &lt;= $BP$9),
                          AND($G63 &lt;&gt; マスタ!$D$54, $G63 &lt;&gt; マスタ!$D$55, $L63 &lt;= $BQ$9)
                         ), $BM$9, $BN$9)))</f>
        <v/>
      </c>
      <c r="O63" s="71"/>
      <c r="P63" s="101" t="str">
        <f t="shared" si="21"/>
        <v/>
      </c>
      <c r="Q63" s="124"/>
      <c r="R63" s="124"/>
      <c r="S63" s="112" t="str">
        <f t="shared" si="19"/>
        <v/>
      </c>
      <c r="T63" s="71"/>
      <c r="U63" s="41" t="str">
        <f>IF($T63=$BM$9, $BM$9,
        IF($S63="", "",
             IF(OR(AND($BL63=マスタ!$C$3, $S63&lt;=$BS$9),
                        AND($BL63=マスタ!$C$4, $S63&lt;=$BT$9),
                        AND(OR($BL63=マスタ!$C$6, $BL63=マスタ!$C$7), $S63&lt;=$BU$9),
                        AND(OR($BL63=マスタ!$C$5, $BL63=マスタ!$C$8), $S63&lt;=$BV$9)),
                  $BM$9, $BN$9)))</f>
        <v/>
      </c>
      <c r="V63" s="129" t="str">
        <f t="shared" si="16"/>
        <v/>
      </c>
      <c r="W63" s="124"/>
      <c r="X63" s="112" t="str">
        <f t="shared" si="20"/>
        <v/>
      </c>
      <c r="Y63" s="71"/>
      <c r="Z63" s="41" t="str">
        <f>IF($Y63=$BM$9, $BM$9,
        IF(AND($T63 = $BM$9, $Y63 = $BO$9), $BN$9,
             IF($BL63=マスタ!$C$3,
                  IF($X63&lt;=$BW$9, $BM$9,$BN$9),
                       IF(OR($BL63=マスタ!$C$4, $BL63=マスタ!$C$5, $BL63=マスタ!$C$6, $BL63=マスタ!$C$7, $BL63=マスタ!$C$8),
                            IF($X63&lt;=$BX$9, $BM$9,$BN$9), ""))))</f>
        <v/>
      </c>
      <c r="AA63" s="71"/>
      <c r="AB63" s="71"/>
      <c r="AC63" s="71"/>
      <c r="AD63" s="165"/>
      <c r="AE63" s="71"/>
      <c r="AF63" s="165"/>
      <c r="AG63" s="92"/>
      <c r="AH63" s="92"/>
      <c r="AI63" s="92"/>
      <c r="AJ63" s="92"/>
      <c r="AK63" s="121"/>
      <c r="AL63" s="121"/>
      <c r="AM63" s="121"/>
      <c r="AN63" s="121"/>
      <c r="AO63" s="92"/>
      <c r="AP63" s="130" t="str">
        <f t="shared" si="5"/>
        <v/>
      </c>
      <c r="AQ63" s="121"/>
      <c r="AR63" s="101" t="str">
        <f>IF(OR(SUMPRODUCT(--(AJ63:AQ63&lt;&gt;""))&lt;7,AND($AJ63=マスタ!$N$3,$AK63="")), "",
        IF($AJ63=マスタ!$N$5, $BO$9,
              IF(OR($F63=マスタ!$C$3, $F63=マスタ!$C$4, $F63=マスタ!$C$5),
                    IF(SUM($AL63,$AM63,$AP63,$AQ63)&gt;=1, $BM$9, $BN$9),
              IF(OR($F63=マスタ!$C$6, $F63=マスタ!$C$7, $F63=マスタ!$C$8),
                    IF($AK63&lt;10, $BO$9,
                          IF(AND(SUM($AL63,$AM63,$AP63,$AQ63)&gt;=($AK63*0.2), $AM63+$AP63+$AQ63&gt;=1),
                               $BM$9,$BN$9))))))</f>
        <v/>
      </c>
      <c r="AS63" s="101" t="str">
        <f>IF(OR(SUMPRODUCT(--(AJ63:AQ63&lt;&gt;""))&lt;7,AND($AJ63=マスタ!$N$3,$AK63="")), "",
     IF($AR63=$BN$9,$BN$9,
        IF($AJ63=マスタ!$N$5, $BO$9,
             IF(OR($F63=マスタ!$C$3, $F63=マスタ!$C$4, $F63=マスタ!$C$5),
                   IF($AQ63&gt;=1, $BM$9, $BN$9),
             IF(OR($F63=マスタ!$C$6, $F63=マスタ!$C$7, $F63=マスタ!$C$8),
                   IF($AK63&lt;5, IF($AQ63&gt;=1, $BM$9, $BN$9),
                         IF(OR($AQ63&gt;=1,
                                    AND(SUM($AL63,$AM63,$AP63,$AQ63)&gt;=$AK63*0.5, ($AM63+$AP63+$AQ63)&gt;=($AK63*0.2))),
                              $BM$9,$BN$9)))))))</f>
        <v/>
      </c>
      <c r="AT63" s="66"/>
      <c r="AU63" s="143"/>
      <c r="AV63" s="98" t="str" cm="1">
        <f t="array" aca="1" ref="AV63" ca="1">IF(AND($F63:$G63&lt;&gt;"", $I63:$K63&lt;&gt;"",
                 IF(OR($M63=$BM$9,$O63=$BM$9), TRUE, $L63&lt;&gt;""),
                 $M63&lt;&gt;"",$O63&lt;&gt;"",
                 IF($T63=$BM$9, TRUE, $Q63:$R63&lt;&gt;""),
                 IF(AND($BL63&lt;&gt;"", $BL63&lt;&gt;マスタ!$C$5, $BL63&lt;&gt;マスタ!$C$8), TRUE, $T63&lt;&gt;""),
                 IF(OR(AND($T63=$BM$9,  $Y63=$BO$9), $Y63=$BM$9), TRUE,$W63&lt;&gt;""),
                 IF(AND($BL63&lt;&gt;"", $BL63&lt;&gt;マスタ!$C$5, $BL63&lt;&gt;マスタ!$C$8), TRUE, $Y63&lt;&gt;""),
                 $AA63&lt;&gt;"",
                 IF($AA63=マスタ!$F$4, TRUE, $AB63&lt;&gt;""),
                 $AG63:$AO63&lt;&gt;"", $AQ63&lt;&gt;"", $AT63&lt;&gt;""),
        "（正常）入力済み", IF($C63= "", "（複数入力）未入力", "（エラー）一部未入力"))</f>
        <v>（複数入力）未入力</v>
      </c>
      <c r="AW63" s="98" t="str">
        <f t="shared" ca="1" si="6"/>
        <v/>
      </c>
      <c r="AX63" s="98" t="str">
        <f t="shared" ca="1" si="22"/>
        <v/>
      </c>
      <c r="AY63" s="98" t="str">
        <f t="shared" ca="1" si="23"/>
        <v/>
      </c>
      <c r="AZ63" s="98" t="str">
        <f t="shared" ca="1" si="24"/>
        <v/>
      </c>
      <c r="BA63" s="98" t="str">
        <f t="shared" ca="1" si="25"/>
        <v/>
      </c>
      <c r="BB63" s="98" t="str">
        <f t="shared" ca="1" si="26"/>
        <v/>
      </c>
      <c r="BC63" s="98" t="str">
        <f t="shared" ca="1" si="27"/>
        <v/>
      </c>
      <c r="BD63" s="98" t="str">
        <f t="shared" ca="1" si="28"/>
        <v/>
      </c>
      <c r="BE63" s="98" t="str">
        <f>IF($BL63="","",
   IF($T63=入力不可用2,
      IF(OR($BL63=マスタ!$C$5,$BL63=マスタ!$C$8), "未入力", "（正常）規定値"),
      IF(OR($BL63=マスタ!$C$5,$BL63=マスタ!$C$8), "（正常）規定値", "（エラー）値入力不可")))</f>
        <v/>
      </c>
      <c r="BF63" s="98" t="str">
        <f ca="1">IF($C63 = "", "",
       IF(AND(OR($BL63=マスタ!$C$5, $BL63=マスタ!$C$8), $T63 = ""), "未入力",
            IF(AND($Y63 = $BM$9, $T63 = $BO$9), "（エラー）「適合」のみ入力可", "（正常）規定値")))</f>
        <v/>
      </c>
      <c r="BG63" s="98" t="str">
        <f t="shared" ca="1" si="29"/>
        <v/>
      </c>
      <c r="BH63" s="98" t="str">
        <f t="shared" ca="1" si="30"/>
        <v/>
      </c>
      <c r="BI63" s="98" t="str">
        <f>IF($BL63="","",
   IF($Y63=入力不可用2,
      IF(OR($BL63=マスタ!$C$5,$BL63=マスタ!$C$8), "未入力", "（正常）規定値"),
      IF(OR($BL63=マスタ!$C$5,$BL63=マスタ!$C$8), "（正常）規定値", "（エラー）値入力不可")))</f>
        <v/>
      </c>
      <c r="BJ63" s="98" t="str">
        <f>IF($AA63="", "",
        IF($AA63=マスタ!$F$3,
             IF($AB63="", "未入力", "（正常）規定値"),
                  IF($AA63=マスタ!$F$4,
                       IF($AB63&lt;&gt;入力不可用2, "（エラー）値入力不可", "（正常）規定値"))))</f>
        <v/>
      </c>
      <c r="BL63" s="75" t="str">
        <f>IF(OR($F63 = マスタ!$C$5, F63 = マスタ!$C$8), $F63,
        IF(AND($F63 = マスタ!$C$3, 'その１事業者基本情報_入力シート（一部非公開）'!$U$16), $F63,
             IF(AND($F63 = マスタ!$C$4, 'その１事業者基本情報_入力シート（一部非公開）'!$S$16), $F63,
                  IF(AND(OR($F63 = マスタ!$C$6, $F63 = マスタ!$C$7),
                                'その１事業者基本情報_入力シート（一部非公開）'!$W$16), $F63,
                       IF(OR($F63 = マスタ!$C$3, $F63=マスタ!$C$4), マスタ!$C$5,
                            IF(OR($F63 = マスタ!$C$6, $F63 = マスタ!$C$7), マスタ!$C$8, ""))))))</f>
        <v/>
      </c>
      <c r="BM63" s="75" t="str">
        <f>IF($L63&lt;&gt;"", $L63,
       IF($M63 = マスタ!$B$3,
          IF(OR($F63=マスタ!$C$3,$F63=マスタ!$C$4,$F63=マスタ!$C$5),
            IF(OR($G63 = マスタ!$D$54, $G63 = マスタ!$D$55), 0.75, 0.87),
            IF(OR($G63 = マスタ!$D$54, $G63 = マスタ!$D$55), 0.62, 0.72)),
                 IF(ISBLANK($L63), "", $L63)))</f>
        <v/>
      </c>
      <c r="BN63" s="99" t="str">
        <f>IF($L63&lt;&gt;"", $L63,
        IF($O63 = マスタ!$B$3,
          IF(OR($F63=マスタ!$C$3,$F63=マスタ!$C$4,$F63=マスタ!$C$5), 0.6, 0.5),
             IF(ISBLANK($L63), "", $L63)))</f>
        <v/>
      </c>
      <c r="BO63" s="99" t="str">
        <f>IF($T63&lt;&gt;マスタ!$B$3,
        IF(ISBLANK($S63),"",$S63),
             IF($BL63=マスタ!$C$3,0.8,
             IF($BL63=マスタ!$C$4,0.85,
             IF($BL63=マスタ!$C$6,0.9,
             IF($BL63=マスタ!$C$7,0.9,
             IF($BL63=マスタ!$C$5,1,
             IF($BL63=マスタ!$C$8,1,"無効な入力")))))))</f>
        <v/>
      </c>
      <c r="BP63" s="99" t="str">
        <f>IF($Y63&lt;&gt;マスタ!$B$3,
   IF(ISBLANK($X63), "", $X63),
   IF($BL63=マスタ!$C$3, 0.75,
      IF($BL63=マスタ!$C$4, 0.8,
         IF($BL63=マスタ!$C$6, 0.8,
            IF($BL63=マスタ!$C$7, 0.8,
               IF($BL63=マスタ!$C$5, 0.8,
                  IF($BL63=マスタ!$C$8, 0.8, "無効な入力")))))))</f>
        <v/>
      </c>
      <c r="BQ63" s="75"/>
      <c r="BR63" s="75"/>
      <c r="BS63" s="75"/>
      <c r="BT63" s="75"/>
      <c r="BU63" s="75"/>
      <c r="BV63" s="75"/>
      <c r="BW63" s="75"/>
      <c r="BX63" s="75"/>
      <c r="BY63" s="75"/>
    </row>
    <row r="64" spans="3:77" ht="30.75" customHeight="1">
      <c r="C64" s="69" t="str" cm="1">
        <f t="array" aca="1" ref="C64" ca="1">IF(SUMPRODUCT(--($D64:$AU64 &lt;&gt; "")),RIGHT(YEAR(TODAY()),2)&amp;"01"&amp;REPT("0",4-LEN(ROW()-11))&amp;ROW()-11,"")</f>
        <v/>
      </c>
      <c r="D64" s="141"/>
      <c r="E64" s="142"/>
      <c r="F64" s="71"/>
      <c r="G64" s="66"/>
      <c r="H64" s="41" t="str">
        <f>IFERROR(VLOOKUP(G64,マスタ!$D$3:$E$55,2,FALSE),"")</f>
        <v/>
      </c>
      <c r="I64" s="93"/>
      <c r="J64" s="77"/>
      <c r="K64" s="66"/>
      <c r="L64" s="103"/>
      <c r="M64" s="71"/>
      <c r="N64" s="101" t="str">
        <f>IF($M64 = $BM$9, $BM$9,
        IF($L64 = "", "",
              IF(OR(
                          AND(OR($G64 = マスタ!$D$54, $G64 = マスタ!$D$55), $L64 &lt;= $BP$9),
                          AND($G64 &lt;&gt; マスタ!$D$54, $G64 &lt;&gt; マスタ!$D$55, $L64 &lt;= $BQ$9)
                         ), $BM$9, $BN$9)))</f>
        <v/>
      </c>
      <c r="O64" s="71"/>
      <c r="P64" s="101" t="str">
        <f t="shared" si="21"/>
        <v/>
      </c>
      <c r="Q64" s="124"/>
      <c r="R64" s="124"/>
      <c r="S64" s="112" t="str">
        <f t="shared" si="19"/>
        <v/>
      </c>
      <c r="T64" s="71"/>
      <c r="U64" s="41" t="str">
        <f>IF($T64=$BM$9, $BM$9,
        IF($S64="", "",
             IF(OR(AND($BL64=マスタ!$C$3, $S64&lt;=$BS$9),
                        AND($BL64=マスタ!$C$4, $S64&lt;=$BT$9),
                        AND(OR($BL64=マスタ!$C$6, $BL64=マスタ!$C$7), $S64&lt;=$BU$9),
                        AND(OR($BL64=マスタ!$C$5, $BL64=マスタ!$C$8), $S64&lt;=$BV$9)),
                  $BM$9, $BN$9)))</f>
        <v/>
      </c>
      <c r="V64" s="129" t="str">
        <f t="shared" si="16"/>
        <v/>
      </c>
      <c r="W64" s="124"/>
      <c r="X64" s="112" t="str">
        <f t="shared" si="20"/>
        <v/>
      </c>
      <c r="Y64" s="71"/>
      <c r="Z64" s="41" t="str">
        <f>IF($Y64=$BM$9, $BM$9,
        IF(AND($T64 = $BM$9, $Y64 = $BO$9), $BN$9,
             IF($BL64=マスタ!$C$3,
                  IF($X64&lt;=$BW$9, $BM$9,$BN$9),
                       IF(OR($BL64=マスタ!$C$4, $BL64=マスタ!$C$5, $BL64=マスタ!$C$6, $BL64=マスタ!$C$7, $BL64=マスタ!$C$8),
                            IF($X64&lt;=$BX$9, $BM$9,$BN$9), ""))))</f>
        <v/>
      </c>
      <c r="AA64" s="71"/>
      <c r="AB64" s="71"/>
      <c r="AC64" s="71"/>
      <c r="AD64" s="165"/>
      <c r="AE64" s="71"/>
      <c r="AF64" s="165"/>
      <c r="AG64" s="92"/>
      <c r="AH64" s="92"/>
      <c r="AI64" s="92"/>
      <c r="AJ64" s="92"/>
      <c r="AK64" s="121"/>
      <c r="AL64" s="121"/>
      <c r="AM64" s="121"/>
      <c r="AN64" s="121"/>
      <c r="AO64" s="92"/>
      <c r="AP64" s="130" t="str">
        <f t="shared" si="5"/>
        <v/>
      </c>
      <c r="AQ64" s="121"/>
      <c r="AR64" s="101" t="str">
        <f>IF(OR(SUMPRODUCT(--(AJ64:AQ64&lt;&gt;""))&lt;7,AND($AJ64=マスタ!$N$3,$AK64="")), "",
        IF($AJ64=マスタ!$N$5, $BO$9,
              IF(OR($F64=マスタ!$C$3, $F64=マスタ!$C$4, $F64=マスタ!$C$5),
                    IF(SUM($AL64,$AM64,$AP64,$AQ64)&gt;=1, $BM$9, $BN$9),
              IF(OR($F64=マスタ!$C$6, $F64=マスタ!$C$7, $F64=マスタ!$C$8),
                    IF($AK64&lt;10, $BO$9,
                          IF(AND(SUM($AL64,$AM64,$AP64,$AQ64)&gt;=($AK64*0.2), $AM64+$AP64+$AQ64&gt;=1),
                               $BM$9,$BN$9))))))</f>
        <v/>
      </c>
      <c r="AS64" s="101" t="str">
        <f>IF(OR(SUMPRODUCT(--(AJ64:AQ64&lt;&gt;""))&lt;7,AND($AJ64=マスタ!$N$3,$AK64="")), "",
     IF($AR64=$BN$9,$BN$9,
        IF($AJ64=マスタ!$N$5, $BO$9,
             IF(OR($F64=マスタ!$C$3, $F64=マスタ!$C$4, $F64=マスタ!$C$5),
                   IF($AQ64&gt;=1, $BM$9, $BN$9),
             IF(OR($F64=マスタ!$C$6, $F64=マスタ!$C$7, $F64=マスタ!$C$8),
                   IF($AK64&lt;5, IF($AQ64&gt;=1, $BM$9, $BN$9),
                         IF(OR($AQ64&gt;=1,
                                    AND(SUM($AL64,$AM64,$AP64,$AQ64)&gt;=$AK64*0.5, ($AM64+$AP64+$AQ64)&gt;=($AK64*0.2))),
                              $BM$9,$BN$9)))))))</f>
        <v/>
      </c>
      <c r="AT64" s="66"/>
      <c r="AU64" s="143"/>
      <c r="AV64" s="98" t="str" cm="1">
        <f t="array" aca="1" ref="AV64" ca="1">IF(AND($F64:$G64&lt;&gt;"", $I64:$K64&lt;&gt;"",
                 IF(OR($M64=$BM$9,$O64=$BM$9), TRUE, $L64&lt;&gt;""),
                 $M64&lt;&gt;"",$O64&lt;&gt;"",
                 IF($T64=$BM$9, TRUE, $Q64:$R64&lt;&gt;""),
                 IF(AND($BL64&lt;&gt;"", $BL64&lt;&gt;マスタ!$C$5, $BL64&lt;&gt;マスタ!$C$8), TRUE, $T64&lt;&gt;""),
                 IF(OR(AND($T64=$BM$9,  $Y64=$BO$9), $Y64=$BM$9), TRUE,$W64&lt;&gt;""),
                 IF(AND($BL64&lt;&gt;"", $BL64&lt;&gt;マスタ!$C$5, $BL64&lt;&gt;マスタ!$C$8), TRUE, $Y64&lt;&gt;""),
                 $AA64&lt;&gt;"",
                 IF($AA64=マスタ!$F$4, TRUE, $AB64&lt;&gt;""),
                 $AG64:$AO64&lt;&gt;"", $AQ64&lt;&gt;"", $AT64&lt;&gt;""),
        "（正常）入力済み", IF($C64= "", "（複数入力）未入力", "（エラー）一部未入力"))</f>
        <v>（複数入力）未入力</v>
      </c>
      <c r="AW64" s="98" t="str">
        <f t="shared" ca="1" si="6"/>
        <v/>
      </c>
      <c r="AX64" s="98" t="str">
        <f t="shared" ca="1" si="22"/>
        <v/>
      </c>
      <c r="AY64" s="98" t="str">
        <f t="shared" ca="1" si="23"/>
        <v/>
      </c>
      <c r="AZ64" s="98" t="str">
        <f t="shared" ca="1" si="24"/>
        <v/>
      </c>
      <c r="BA64" s="98" t="str">
        <f t="shared" ca="1" si="25"/>
        <v/>
      </c>
      <c r="BB64" s="98" t="str">
        <f t="shared" ca="1" si="26"/>
        <v/>
      </c>
      <c r="BC64" s="98" t="str">
        <f t="shared" ca="1" si="27"/>
        <v/>
      </c>
      <c r="BD64" s="98" t="str">
        <f t="shared" ca="1" si="28"/>
        <v/>
      </c>
      <c r="BE64" s="98" t="str">
        <f>IF($BL64="","",
   IF($T64=入力不可用2,
      IF(OR($BL64=マスタ!$C$5,$BL64=マスタ!$C$8), "未入力", "（正常）規定値"),
      IF(OR($BL64=マスタ!$C$5,$BL64=マスタ!$C$8), "（正常）規定値", "（エラー）値入力不可")))</f>
        <v/>
      </c>
      <c r="BF64" s="98" t="str">
        <f ca="1">IF($C64 = "", "",
       IF(AND(OR($BL64=マスタ!$C$5, $BL64=マスタ!$C$8), $T64 = ""), "未入力",
            IF(AND($Y64 = $BM$9, $T64 = $BO$9), "（エラー）「適合」のみ入力可", "（正常）規定値")))</f>
        <v/>
      </c>
      <c r="BG64" s="98" t="str">
        <f t="shared" ca="1" si="29"/>
        <v/>
      </c>
      <c r="BH64" s="98" t="str">
        <f t="shared" ca="1" si="30"/>
        <v/>
      </c>
      <c r="BI64" s="98" t="str">
        <f>IF($BL64="","",
   IF($Y64=入力不可用2,
      IF(OR($BL64=マスタ!$C$5,$BL64=マスタ!$C$8), "未入力", "（正常）規定値"),
      IF(OR($BL64=マスタ!$C$5,$BL64=マスタ!$C$8), "（正常）規定値", "（エラー）値入力不可")))</f>
        <v/>
      </c>
      <c r="BJ64" s="98" t="str">
        <f>IF($AA64="", "",
        IF($AA64=マスタ!$F$3,
             IF($AB64="", "未入力", "（正常）規定値"),
                  IF($AA64=マスタ!$F$4,
                       IF($AB64&lt;&gt;入力不可用2, "（エラー）値入力不可", "（正常）規定値"))))</f>
        <v/>
      </c>
      <c r="BL64" s="75" t="str">
        <f>IF(OR($F64 = マスタ!$C$5, F64 = マスタ!$C$8), $F64,
        IF(AND($F64 = マスタ!$C$3, 'その１事業者基本情報_入力シート（一部非公開）'!$U$16), $F64,
             IF(AND($F64 = マスタ!$C$4, 'その１事業者基本情報_入力シート（一部非公開）'!$S$16), $F64,
                  IF(AND(OR($F64 = マスタ!$C$6, $F64 = マスタ!$C$7),
                                'その１事業者基本情報_入力シート（一部非公開）'!$W$16), $F64,
                       IF(OR($F64 = マスタ!$C$3, $F64=マスタ!$C$4), マスタ!$C$5,
                            IF(OR($F64 = マスタ!$C$6, $F64 = マスタ!$C$7), マスタ!$C$8, ""))))))</f>
        <v/>
      </c>
      <c r="BM64" s="75" t="str">
        <f>IF($L64&lt;&gt;"", $L64,
       IF($M64 = マスタ!$B$3,
          IF(OR($F64=マスタ!$C$3,$F64=マスタ!$C$4,$F64=マスタ!$C$5),
            IF(OR($G64 = マスタ!$D$54, $G64 = マスタ!$D$55), 0.75, 0.87),
            IF(OR($G64 = マスタ!$D$54, $G64 = マスタ!$D$55), 0.62, 0.72)),
                 IF(ISBLANK($L64), "", $L64)))</f>
        <v/>
      </c>
      <c r="BN64" s="99" t="str">
        <f>IF($L64&lt;&gt;"", $L64,
        IF($O64 = マスタ!$B$3,
          IF(OR($F64=マスタ!$C$3,$F64=マスタ!$C$4,$F64=マスタ!$C$5), 0.6, 0.5),
             IF(ISBLANK($L64), "", $L64)))</f>
        <v/>
      </c>
      <c r="BO64" s="99" t="str">
        <f>IF($T64&lt;&gt;マスタ!$B$3,
        IF(ISBLANK($S64),"",$S64),
             IF($BL64=マスタ!$C$3,0.8,
             IF($BL64=マスタ!$C$4,0.85,
             IF($BL64=マスタ!$C$6,0.9,
             IF($BL64=マスタ!$C$7,0.9,
             IF($BL64=マスタ!$C$5,1,
             IF($BL64=マスタ!$C$8,1,"無効な入力")))))))</f>
        <v/>
      </c>
      <c r="BP64" s="99" t="str">
        <f>IF($Y64&lt;&gt;マスタ!$B$3,
   IF(ISBLANK($X64), "", $X64),
   IF($BL64=マスタ!$C$3, 0.75,
      IF($BL64=マスタ!$C$4, 0.8,
         IF($BL64=マスタ!$C$6, 0.8,
            IF($BL64=マスタ!$C$7, 0.8,
               IF($BL64=マスタ!$C$5, 0.8,
                  IF($BL64=マスタ!$C$8, 0.8, "無効な入力")))))))</f>
        <v/>
      </c>
      <c r="BQ64" s="75"/>
      <c r="BR64" s="75"/>
      <c r="BS64" s="75"/>
      <c r="BT64" s="75"/>
      <c r="BU64" s="75"/>
      <c r="BV64" s="75"/>
      <c r="BW64" s="75"/>
      <c r="BX64" s="75"/>
      <c r="BY64" s="75"/>
    </row>
    <row r="65" spans="3:77" ht="30.75" customHeight="1">
      <c r="C65" s="69" t="str" cm="1">
        <f t="array" aca="1" ref="C65" ca="1">IF(SUMPRODUCT(--($D65:$AU65 &lt;&gt; "")),RIGHT(YEAR(TODAY()),2)&amp;"01"&amp;REPT("0",4-LEN(ROW()-11))&amp;ROW()-11,"")</f>
        <v/>
      </c>
      <c r="D65" s="141"/>
      <c r="E65" s="142"/>
      <c r="F65" s="71"/>
      <c r="G65" s="66"/>
      <c r="H65" s="41" t="str">
        <f>IFERROR(VLOOKUP(G65,マスタ!$D$3:$E$55,2,FALSE),"")</f>
        <v/>
      </c>
      <c r="I65" s="93"/>
      <c r="J65" s="77"/>
      <c r="K65" s="66"/>
      <c r="L65" s="103"/>
      <c r="M65" s="71"/>
      <c r="N65" s="101" t="str">
        <f>IF($M65 = $BM$9, $BM$9,
        IF($L65 = "", "",
              IF(OR(
                          AND(OR($G65 = マスタ!$D$54, $G65 = マスタ!$D$55), $L65 &lt;= $BP$9),
                          AND($G65 &lt;&gt; マスタ!$D$54, $G65 &lt;&gt; マスタ!$D$55, $L65 &lt;= $BQ$9)
                         ), $BM$9, $BN$9)))</f>
        <v/>
      </c>
      <c r="O65" s="71"/>
      <c r="P65" s="101" t="str">
        <f t="shared" si="21"/>
        <v/>
      </c>
      <c r="Q65" s="124"/>
      <c r="R65" s="124"/>
      <c r="S65" s="112" t="str">
        <f t="shared" si="19"/>
        <v/>
      </c>
      <c r="T65" s="71"/>
      <c r="U65" s="41" t="str">
        <f>IF($T65=$BM$9, $BM$9,
        IF($S65="", "",
             IF(OR(AND($BL65=マスタ!$C$3, $S65&lt;=$BS$9),
                        AND($BL65=マスタ!$C$4, $S65&lt;=$BT$9),
                        AND(OR($BL65=マスタ!$C$6, $BL65=マスタ!$C$7), $S65&lt;=$BU$9),
                        AND(OR($BL65=マスタ!$C$5, $BL65=マスタ!$C$8), $S65&lt;=$BV$9)),
                  $BM$9, $BN$9)))</f>
        <v/>
      </c>
      <c r="V65" s="129" t="str">
        <f t="shared" si="16"/>
        <v/>
      </c>
      <c r="W65" s="124"/>
      <c r="X65" s="112" t="str">
        <f t="shared" si="20"/>
        <v/>
      </c>
      <c r="Y65" s="71"/>
      <c r="Z65" s="41" t="str">
        <f>IF($Y65=$BM$9, $BM$9,
        IF(AND($T65 = $BM$9, $Y65 = $BO$9), $BN$9,
             IF($BL65=マスタ!$C$3,
                  IF($X65&lt;=$BW$9, $BM$9,$BN$9),
                       IF(OR($BL65=マスタ!$C$4, $BL65=マスタ!$C$5, $BL65=マスタ!$C$6, $BL65=マスタ!$C$7, $BL65=マスタ!$C$8),
                            IF($X65&lt;=$BX$9, $BM$9,$BN$9), ""))))</f>
        <v/>
      </c>
      <c r="AA65" s="71"/>
      <c r="AB65" s="71"/>
      <c r="AC65" s="71"/>
      <c r="AD65" s="165"/>
      <c r="AE65" s="71"/>
      <c r="AF65" s="165"/>
      <c r="AG65" s="92"/>
      <c r="AH65" s="92"/>
      <c r="AI65" s="92"/>
      <c r="AJ65" s="92"/>
      <c r="AK65" s="121"/>
      <c r="AL65" s="121"/>
      <c r="AM65" s="121"/>
      <c r="AN65" s="121"/>
      <c r="AO65" s="92"/>
      <c r="AP65" s="130" t="str">
        <f t="shared" si="5"/>
        <v/>
      </c>
      <c r="AQ65" s="121"/>
      <c r="AR65" s="101" t="str">
        <f>IF(OR(SUMPRODUCT(--(AJ65:AQ65&lt;&gt;""))&lt;7,AND($AJ65=マスタ!$N$3,$AK65="")), "",
        IF($AJ65=マスタ!$N$5, $BO$9,
              IF(OR($F65=マスタ!$C$3, $F65=マスタ!$C$4, $F65=マスタ!$C$5),
                    IF(SUM($AL65,$AM65,$AP65,$AQ65)&gt;=1, $BM$9, $BN$9),
              IF(OR($F65=マスタ!$C$6, $F65=マスタ!$C$7, $F65=マスタ!$C$8),
                    IF($AK65&lt;10, $BO$9,
                          IF(AND(SUM($AL65,$AM65,$AP65,$AQ65)&gt;=($AK65*0.2), $AM65+$AP65+$AQ65&gt;=1),
                               $BM$9,$BN$9))))))</f>
        <v/>
      </c>
      <c r="AS65" s="101" t="str">
        <f>IF(OR(SUMPRODUCT(--(AJ65:AQ65&lt;&gt;""))&lt;7,AND($AJ65=マスタ!$N$3,$AK65="")), "",
     IF($AR65=$BN$9,$BN$9,
        IF($AJ65=マスタ!$N$5, $BO$9,
             IF(OR($F65=マスタ!$C$3, $F65=マスタ!$C$4, $F65=マスタ!$C$5),
                   IF($AQ65&gt;=1, $BM$9, $BN$9),
             IF(OR($F65=マスタ!$C$6, $F65=マスタ!$C$7, $F65=マスタ!$C$8),
                   IF($AK65&lt;5, IF($AQ65&gt;=1, $BM$9, $BN$9),
                         IF(OR($AQ65&gt;=1,
                                    AND(SUM($AL65,$AM65,$AP65,$AQ65)&gt;=$AK65*0.5, ($AM65+$AP65+$AQ65)&gt;=($AK65*0.2))),
                              $BM$9,$BN$9)))))))</f>
        <v/>
      </c>
      <c r="AT65" s="66"/>
      <c r="AU65" s="143"/>
      <c r="AV65" s="98" t="str" cm="1">
        <f t="array" aca="1" ref="AV65" ca="1">IF(AND($F65:$G65&lt;&gt;"", $I65:$K65&lt;&gt;"",
                 IF(OR($M65=$BM$9,$O65=$BM$9), TRUE, $L65&lt;&gt;""),
                 $M65&lt;&gt;"",$O65&lt;&gt;"",
                 IF($T65=$BM$9, TRUE, $Q65:$R65&lt;&gt;""),
                 IF(AND($BL65&lt;&gt;"", $BL65&lt;&gt;マスタ!$C$5, $BL65&lt;&gt;マスタ!$C$8), TRUE, $T65&lt;&gt;""),
                 IF(OR(AND($T65=$BM$9,  $Y65=$BO$9), $Y65=$BM$9), TRUE,$W65&lt;&gt;""),
                 IF(AND($BL65&lt;&gt;"", $BL65&lt;&gt;マスタ!$C$5, $BL65&lt;&gt;マスタ!$C$8), TRUE, $Y65&lt;&gt;""),
                 $AA65&lt;&gt;"",
                 IF($AA65=マスタ!$F$4, TRUE, $AB65&lt;&gt;""),
                 $AG65:$AO65&lt;&gt;"", $AQ65&lt;&gt;"", $AT65&lt;&gt;""),
        "（正常）入力済み", IF($C65= "", "（複数入力）未入力", "（エラー）一部未入力"))</f>
        <v>（複数入力）未入力</v>
      </c>
      <c r="AW65" s="98" t="str">
        <f t="shared" ca="1" si="6"/>
        <v/>
      </c>
      <c r="AX65" s="98" t="str">
        <f t="shared" ca="1" si="22"/>
        <v/>
      </c>
      <c r="AY65" s="98" t="str">
        <f t="shared" ca="1" si="23"/>
        <v/>
      </c>
      <c r="AZ65" s="98" t="str">
        <f t="shared" ca="1" si="24"/>
        <v/>
      </c>
      <c r="BA65" s="98" t="str">
        <f t="shared" ca="1" si="25"/>
        <v/>
      </c>
      <c r="BB65" s="98" t="str">
        <f t="shared" ca="1" si="26"/>
        <v/>
      </c>
      <c r="BC65" s="98" t="str">
        <f t="shared" ca="1" si="27"/>
        <v/>
      </c>
      <c r="BD65" s="98" t="str">
        <f t="shared" ca="1" si="28"/>
        <v/>
      </c>
      <c r="BE65" s="98" t="str">
        <f>IF($BL65="","",
   IF($T65=入力不可用2,
      IF(OR($BL65=マスタ!$C$5,$BL65=マスタ!$C$8), "未入力", "（正常）規定値"),
      IF(OR($BL65=マスタ!$C$5,$BL65=マスタ!$C$8), "（正常）規定値", "（エラー）値入力不可")))</f>
        <v/>
      </c>
      <c r="BF65" s="98" t="str">
        <f ca="1">IF($C65 = "", "",
       IF(AND(OR($BL65=マスタ!$C$5, $BL65=マスタ!$C$8), $T65 = ""), "未入力",
            IF(AND($Y65 = $BM$9, $T65 = $BO$9), "（エラー）「適合」のみ入力可", "（正常）規定値")))</f>
        <v/>
      </c>
      <c r="BG65" s="98" t="str">
        <f t="shared" ca="1" si="29"/>
        <v/>
      </c>
      <c r="BH65" s="98" t="str">
        <f t="shared" ca="1" si="30"/>
        <v/>
      </c>
      <c r="BI65" s="98" t="str">
        <f>IF($BL65="","",
   IF($Y65=入力不可用2,
      IF(OR($BL65=マスタ!$C$5,$BL65=マスタ!$C$8), "未入力", "（正常）規定値"),
      IF(OR($BL65=マスタ!$C$5,$BL65=マスタ!$C$8), "（正常）規定値", "（エラー）値入力不可")))</f>
        <v/>
      </c>
      <c r="BJ65" s="98" t="str">
        <f>IF($AA65="", "",
        IF($AA65=マスタ!$F$3,
             IF($AB65="", "未入力", "（正常）規定値"),
                  IF($AA65=マスタ!$F$4,
                       IF($AB65&lt;&gt;入力不可用2, "（エラー）値入力不可", "（正常）規定値"))))</f>
        <v/>
      </c>
      <c r="BL65" s="75" t="str">
        <f>IF(OR($F65 = マスタ!$C$5, F65 = マスタ!$C$8), $F65,
        IF(AND($F65 = マスタ!$C$3, 'その１事業者基本情報_入力シート（一部非公開）'!$U$16), $F65,
             IF(AND($F65 = マスタ!$C$4, 'その１事業者基本情報_入力シート（一部非公開）'!$S$16), $F65,
                  IF(AND(OR($F65 = マスタ!$C$6, $F65 = マスタ!$C$7),
                                'その１事業者基本情報_入力シート（一部非公開）'!$W$16), $F65,
                       IF(OR($F65 = マスタ!$C$3, $F65=マスタ!$C$4), マスタ!$C$5,
                            IF(OR($F65 = マスタ!$C$6, $F65 = マスタ!$C$7), マスタ!$C$8, ""))))))</f>
        <v/>
      </c>
      <c r="BM65" s="75" t="str">
        <f>IF($L65&lt;&gt;"", $L65,
       IF($M65 = マスタ!$B$3,
          IF(OR($F65=マスタ!$C$3,$F65=マスタ!$C$4,$F65=マスタ!$C$5),
            IF(OR($G65 = マスタ!$D$54, $G65 = マスタ!$D$55), 0.75, 0.87),
            IF(OR($G65 = マスタ!$D$54, $G65 = マスタ!$D$55), 0.62, 0.72)),
                 IF(ISBLANK($L65), "", $L65)))</f>
        <v/>
      </c>
      <c r="BN65" s="99" t="str">
        <f>IF($L65&lt;&gt;"", $L65,
        IF($O65 = マスタ!$B$3,
          IF(OR($F65=マスタ!$C$3,$F65=マスタ!$C$4,$F65=マスタ!$C$5), 0.6, 0.5),
             IF(ISBLANK($L65), "", $L65)))</f>
        <v/>
      </c>
      <c r="BO65" s="99" t="str">
        <f>IF($T65&lt;&gt;マスタ!$B$3,
        IF(ISBLANK($S65),"",$S65),
             IF($BL65=マスタ!$C$3,0.8,
             IF($BL65=マスタ!$C$4,0.85,
             IF($BL65=マスタ!$C$6,0.9,
             IF($BL65=マスタ!$C$7,0.9,
             IF($BL65=マスタ!$C$5,1,
             IF($BL65=マスタ!$C$8,1,"無効な入力")))))))</f>
        <v/>
      </c>
      <c r="BP65" s="99" t="str">
        <f>IF($Y65&lt;&gt;マスタ!$B$3,
   IF(ISBLANK($X65), "", $X65),
   IF($BL65=マスタ!$C$3, 0.75,
      IF($BL65=マスタ!$C$4, 0.8,
         IF($BL65=マスタ!$C$6, 0.8,
            IF($BL65=マスタ!$C$7, 0.8,
               IF($BL65=マスタ!$C$5, 0.8,
                  IF($BL65=マスタ!$C$8, 0.8, "無効な入力")))))))</f>
        <v/>
      </c>
      <c r="BQ65" s="75"/>
      <c r="BR65" s="75"/>
      <c r="BS65" s="75"/>
      <c r="BT65" s="75"/>
      <c r="BU65" s="75"/>
      <c r="BV65" s="75"/>
      <c r="BW65" s="75"/>
      <c r="BX65" s="75"/>
      <c r="BY65" s="75"/>
    </row>
    <row r="66" spans="3:77" ht="30.75" customHeight="1">
      <c r="C66" s="69" t="str" cm="1">
        <f t="array" aca="1" ref="C66" ca="1">IF(SUMPRODUCT(--($D66:$AU66 &lt;&gt; "")),RIGHT(YEAR(TODAY()),2)&amp;"01"&amp;REPT("0",4-LEN(ROW()-11))&amp;ROW()-11,"")</f>
        <v/>
      </c>
      <c r="D66" s="141"/>
      <c r="E66" s="142"/>
      <c r="F66" s="71"/>
      <c r="G66" s="66"/>
      <c r="H66" s="41" t="str">
        <f>IFERROR(VLOOKUP(G66,マスタ!$D$3:$E$55,2,FALSE),"")</f>
        <v/>
      </c>
      <c r="I66" s="93"/>
      <c r="J66" s="77"/>
      <c r="K66" s="66"/>
      <c r="L66" s="103"/>
      <c r="M66" s="71"/>
      <c r="N66" s="101" t="str">
        <f>IF($M66 = $BM$9, $BM$9,
        IF($L66 = "", "",
              IF(OR(
                          AND(OR($G66 = マスタ!$D$54, $G66 = マスタ!$D$55), $L66 &lt;= $BP$9),
                          AND($G66 &lt;&gt; マスタ!$D$54, $G66 &lt;&gt; マスタ!$D$55, $L66 &lt;= $BQ$9)
                         ), $BM$9, $BN$9)))</f>
        <v/>
      </c>
      <c r="O66" s="71"/>
      <c r="P66" s="101" t="str">
        <f t="shared" si="21"/>
        <v/>
      </c>
      <c r="Q66" s="124"/>
      <c r="R66" s="124"/>
      <c r="S66" s="112" t="str">
        <f t="shared" si="19"/>
        <v/>
      </c>
      <c r="T66" s="71"/>
      <c r="U66" s="41" t="str">
        <f>IF($T66=$BM$9, $BM$9,
        IF($S66="", "",
             IF(OR(AND($BL66=マスタ!$C$3, $S66&lt;=$BS$9),
                        AND($BL66=マスタ!$C$4, $S66&lt;=$BT$9),
                        AND(OR($BL66=マスタ!$C$6, $BL66=マスタ!$C$7), $S66&lt;=$BU$9),
                        AND(OR($BL66=マスタ!$C$5, $BL66=マスタ!$C$8), $S66&lt;=$BV$9)),
                  $BM$9, $BN$9)))</f>
        <v/>
      </c>
      <c r="V66" s="129" t="str">
        <f t="shared" si="16"/>
        <v/>
      </c>
      <c r="W66" s="124"/>
      <c r="X66" s="112" t="str">
        <f t="shared" si="20"/>
        <v/>
      </c>
      <c r="Y66" s="71"/>
      <c r="Z66" s="41" t="str">
        <f>IF($Y66=$BM$9, $BM$9,
        IF(AND($T66 = $BM$9, $Y66 = $BO$9), $BN$9,
             IF($BL66=マスタ!$C$3,
                  IF($X66&lt;=$BW$9, $BM$9,$BN$9),
                       IF(OR($BL66=マスタ!$C$4, $BL66=マスタ!$C$5, $BL66=マスタ!$C$6, $BL66=マスタ!$C$7, $BL66=マスタ!$C$8),
                            IF($X66&lt;=$BX$9, $BM$9,$BN$9), ""))))</f>
        <v/>
      </c>
      <c r="AA66" s="71"/>
      <c r="AB66" s="71"/>
      <c r="AC66" s="71"/>
      <c r="AD66" s="165"/>
      <c r="AE66" s="71"/>
      <c r="AF66" s="165"/>
      <c r="AG66" s="92"/>
      <c r="AH66" s="92"/>
      <c r="AI66" s="92"/>
      <c r="AJ66" s="92"/>
      <c r="AK66" s="121"/>
      <c r="AL66" s="121"/>
      <c r="AM66" s="121"/>
      <c r="AN66" s="121"/>
      <c r="AO66" s="92"/>
      <c r="AP66" s="130" t="str">
        <f t="shared" si="5"/>
        <v/>
      </c>
      <c r="AQ66" s="121"/>
      <c r="AR66" s="101" t="str">
        <f>IF(OR(SUMPRODUCT(--(AJ66:AQ66&lt;&gt;""))&lt;7,AND($AJ66=マスタ!$N$3,$AK66="")), "",
        IF($AJ66=マスタ!$N$5, $BO$9,
              IF(OR($F66=マスタ!$C$3, $F66=マスタ!$C$4, $F66=マスタ!$C$5),
                    IF(SUM($AL66,$AM66,$AP66,$AQ66)&gt;=1, $BM$9, $BN$9),
              IF(OR($F66=マスタ!$C$6, $F66=マスタ!$C$7, $F66=マスタ!$C$8),
                    IF($AK66&lt;10, $BO$9,
                          IF(AND(SUM($AL66,$AM66,$AP66,$AQ66)&gt;=($AK66*0.2), $AM66+$AP66+$AQ66&gt;=1),
                               $BM$9,$BN$9))))))</f>
        <v/>
      </c>
      <c r="AS66" s="101" t="str">
        <f>IF(OR(SUMPRODUCT(--(AJ66:AQ66&lt;&gt;""))&lt;7,AND($AJ66=マスタ!$N$3,$AK66="")), "",
     IF($AR66=$BN$9,$BN$9,
        IF($AJ66=マスタ!$N$5, $BO$9,
             IF(OR($F66=マスタ!$C$3, $F66=マスタ!$C$4, $F66=マスタ!$C$5),
                   IF($AQ66&gt;=1, $BM$9, $BN$9),
             IF(OR($F66=マスタ!$C$6, $F66=マスタ!$C$7, $F66=マスタ!$C$8),
                   IF($AK66&lt;5, IF($AQ66&gt;=1, $BM$9, $BN$9),
                         IF(OR($AQ66&gt;=1,
                                    AND(SUM($AL66,$AM66,$AP66,$AQ66)&gt;=$AK66*0.5, ($AM66+$AP66+$AQ66)&gt;=($AK66*0.2))),
                              $BM$9,$BN$9)))))))</f>
        <v/>
      </c>
      <c r="AT66" s="66"/>
      <c r="AU66" s="143"/>
      <c r="AV66" s="98" t="str" cm="1">
        <f t="array" aca="1" ref="AV66" ca="1">IF(AND($F66:$G66&lt;&gt;"", $I66:$K66&lt;&gt;"",
                 IF(OR($M66=$BM$9,$O66=$BM$9), TRUE, $L66&lt;&gt;""),
                 $M66&lt;&gt;"",$O66&lt;&gt;"",
                 IF($T66=$BM$9, TRUE, $Q66:$R66&lt;&gt;""),
                 IF(AND($BL66&lt;&gt;"", $BL66&lt;&gt;マスタ!$C$5, $BL66&lt;&gt;マスタ!$C$8), TRUE, $T66&lt;&gt;""),
                 IF(OR(AND($T66=$BM$9,  $Y66=$BO$9), $Y66=$BM$9), TRUE,$W66&lt;&gt;""),
                 IF(AND($BL66&lt;&gt;"", $BL66&lt;&gt;マスタ!$C$5, $BL66&lt;&gt;マスタ!$C$8), TRUE, $Y66&lt;&gt;""),
                 $AA66&lt;&gt;"",
                 IF($AA66=マスタ!$F$4, TRUE, $AB66&lt;&gt;""),
                 $AG66:$AO66&lt;&gt;"", $AQ66&lt;&gt;"", $AT66&lt;&gt;""),
        "（正常）入力済み", IF($C66= "", "（複数入力）未入力", "（エラー）一部未入力"))</f>
        <v>（複数入力）未入力</v>
      </c>
      <c r="AW66" s="98" t="str">
        <f t="shared" ca="1" si="6"/>
        <v/>
      </c>
      <c r="AX66" s="98" t="str">
        <f t="shared" ca="1" si="22"/>
        <v/>
      </c>
      <c r="AY66" s="98" t="str">
        <f t="shared" ca="1" si="23"/>
        <v/>
      </c>
      <c r="AZ66" s="98" t="str">
        <f t="shared" ca="1" si="24"/>
        <v/>
      </c>
      <c r="BA66" s="98" t="str">
        <f t="shared" ca="1" si="25"/>
        <v/>
      </c>
      <c r="BB66" s="98" t="str">
        <f t="shared" ca="1" si="26"/>
        <v/>
      </c>
      <c r="BC66" s="98" t="str">
        <f t="shared" ca="1" si="27"/>
        <v/>
      </c>
      <c r="BD66" s="98" t="str">
        <f t="shared" ca="1" si="28"/>
        <v/>
      </c>
      <c r="BE66" s="98" t="str">
        <f>IF($BL66="","",
   IF($T66=入力不可用2,
      IF(OR($BL66=マスタ!$C$5,$BL66=マスタ!$C$8), "未入力", "（正常）規定値"),
      IF(OR($BL66=マスタ!$C$5,$BL66=マスタ!$C$8), "（正常）規定値", "（エラー）値入力不可")))</f>
        <v/>
      </c>
      <c r="BF66" s="98" t="str">
        <f ca="1">IF($C66 = "", "",
       IF(AND(OR($BL66=マスタ!$C$5, $BL66=マスタ!$C$8), $T66 = ""), "未入力",
            IF(AND($Y66 = $BM$9, $T66 = $BO$9), "（エラー）「適合」のみ入力可", "（正常）規定値")))</f>
        <v/>
      </c>
      <c r="BG66" s="98" t="str">
        <f t="shared" ca="1" si="29"/>
        <v/>
      </c>
      <c r="BH66" s="98" t="str">
        <f t="shared" ca="1" si="30"/>
        <v/>
      </c>
      <c r="BI66" s="98" t="str">
        <f>IF($BL66="","",
   IF($Y66=入力不可用2,
      IF(OR($BL66=マスタ!$C$5,$BL66=マスタ!$C$8), "未入力", "（正常）規定値"),
      IF(OR($BL66=マスタ!$C$5,$BL66=マスタ!$C$8), "（正常）規定値", "（エラー）値入力不可")))</f>
        <v/>
      </c>
      <c r="BJ66" s="98" t="str">
        <f>IF($AA66="", "",
        IF($AA66=マスタ!$F$3,
             IF($AB66="", "未入力", "（正常）規定値"),
                  IF($AA66=マスタ!$F$4,
                       IF($AB66&lt;&gt;入力不可用2, "（エラー）値入力不可", "（正常）規定値"))))</f>
        <v/>
      </c>
      <c r="BL66" s="75" t="str">
        <f>IF(OR($F66 = マスタ!$C$5, F66 = マスタ!$C$8), $F66,
        IF(AND($F66 = マスタ!$C$3, 'その１事業者基本情報_入力シート（一部非公開）'!$U$16), $F66,
             IF(AND($F66 = マスタ!$C$4, 'その１事業者基本情報_入力シート（一部非公開）'!$S$16), $F66,
                  IF(AND(OR($F66 = マスタ!$C$6, $F66 = マスタ!$C$7),
                                'その１事業者基本情報_入力シート（一部非公開）'!$W$16), $F66,
                       IF(OR($F66 = マスタ!$C$3, $F66=マスタ!$C$4), マスタ!$C$5,
                            IF(OR($F66 = マスタ!$C$6, $F66 = マスタ!$C$7), マスタ!$C$8, ""))))))</f>
        <v/>
      </c>
      <c r="BM66" s="75" t="str">
        <f>IF($L66&lt;&gt;"", $L66,
       IF($M66 = マスタ!$B$3,
          IF(OR($F66=マスタ!$C$3,$F66=マスタ!$C$4,$F66=マスタ!$C$5),
            IF(OR($G66 = マスタ!$D$54, $G66 = マスタ!$D$55), 0.75, 0.87),
            IF(OR($G66 = マスタ!$D$54, $G66 = マスタ!$D$55), 0.62, 0.72)),
                 IF(ISBLANK($L66), "", $L66)))</f>
        <v/>
      </c>
      <c r="BN66" s="99" t="str">
        <f>IF($L66&lt;&gt;"", $L66,
        IF($O66 = マスタ!$B$3,
          IF(OR($F66=マスタ!$C$3,$F66=マスタ!$C$4,$F66=マスタ!$C$5), 0.6, 0.5),
             IF(ISBLANK($L66), "", $L66)))</f>
        <v/>
      </c>
      <c r="BO66" s="99" t="str">
        <f>IF($T66&lt;&gt;マスタ!$B$3,
        IF(ISBLANK($S66),"",$S66),
             IF($BL66=マスタ!$C$3,0.8,
             IF($BL66=マスタ!$C$4,0.85,
             IF($BL66=マスタ!$C$6,0.9,
             IF($BL66=マスタ!$C$7,0.9,
             IF($BL66=マスタ!$C$5,1,
             IF($BL66=マスタ!$C$8,1,"無効な入力")))))))</f>
        <v/>
      </c>
      <c r="BP66" s="99" t="str">
        <f>IF($Y66&lt;&gt;マスタ!$B$3,
   IF(ISBLANK($X66), "", $X66),
   IF($BL66=マスタ!$C$3, 0.75,
      IF($BL66=マスタ!$C$4, 0.8,
         IF($BL66=マスタ!$C$6, 0.8,
            IF($BL66=マスタ!$C$7, 0.8,
               IF($BL66=マスタ!$C$5, 0.8,
                  IF($BL66=マスタ!$C$8, 0.8, "無効な入力")))))))</f>
        <v/>
      </c>
      <c r="BQ66" s="75"/>
      <c r="BR66" s="75"/>
      <c r="BS66" s="75"/>
      <c r="BT66" s="75"/>
      <c r="BU66" s="75"/>
      <c r="BV66" s="75"/>
      <c r="BW66" s="75"/>
      <c r="BX66" s="75"/>
      <c r="BY66" s="75"/>
    </row>
    <row r="67" spans="3:77" ht="30.75" customHeight="1">
      <c r="C67" s="69" t="str" cm="1">
        <f t="array" aca="1" ref="C67" ca="1">IF(SUMPRODUCT(--($D67:$AU67 &lt;&gt; "")),RIGHT(YEAR(TODAY()),2)&amp;"01"&amp;REPT("0",4-LEN(ROW()-11))&amp;ROW()-11,"")</f>
        <v/>
      </c>
      <c r="D67" s="141"/>
      <c r="E67" s="142"/>
      <c r="F67" s="71"/>
      <c r="G67" s="66"/>
      <c r="H67" s="41" t="str">
        <f>IFERROR(VLOOKUP(G67,マスタ!$D$3:$E$55,2,FALSE),"")</f>
        <v/>
      </c>
      <c r="I67" s="93"/>
      <c r="J67" s="77"/>
      <c r="K67" s="66"/>
      <c r="L67" s="103"/>
      <c r="M67" s="71"/>
      <c r="N67" s="101" t="str">
        <f>IF($M67 = $BM$9, $BM$9,
        IF($L67 = "", "",
              IF(OR(
                          AND(OR($G67 = マスタ!$D$54, $G67 = マスタ!$D$55), $L67 &lt;= $BP$9),
                          AND($G67 &lt;&gt; マスタ!$D$54, $G67 &lt;&gt; マスタ!$D$55, $L67 &lt;= $BQ$9)
                         ), $BM$9, $BN$9)))</f>
        <v/>
      </c>
      <c r="O67" s="71"/>
      <c r="P67" s="101" t="str">
        <f t="shared" si="21"/>
        <v/>
      </c>
      <c r="Q67" s="124"/>
      <c r="R67" s="124"/>
      <c r="S67" s="112" t="str">
        <f t="shared" si="19"/>
        <v/>
      </c>
      <c r="T67" s="71"/>
      <c r="U67" s="41" t="str">
        <f>IF($T67=$BM$9, $BM$9,
        IF($S67="", "",
             IF(OR(AND($BL67=マスタ!$C$3, $S67&lt;=$BS$9),
                        AND($BL67=マスタ!$C$4, $S67&lt;=$BT$9),
                        AND(OR($BL67=マスタ!$C$6, $BL67=マスタ!$C$7), $S67&lt;=$BU$9),
                        AND(OR($BL67=マスタ!$C$5, $BL67=マスタ!$C$8), $S67&lt;=$BV$9)),
                  $BM$9, $BN$9)))</f>
        <v/>
      </c>
      <c r="V67" s="129" t="str">
        <f t="shared" si="16"/>
        <v/>
      </c>
      <c r="W67" s="124"/>
      <c r="X67" s="112" t="str">
        <f t="shared" si="20"/>
        <v/>
      </c>
      <c r="Y67" s="71"/>
      <c r="Z67" s="41" t="str">
        <f>IF($Y67=$BM$9, $BM$9,
        IF(AND($T67 = $BM$9, $Y67 = $BO$9), $BN$9,
             IF($BL67=マスタ!$C$3,
                  IF($X67&lt;=$BW$9, $BM$9,$BN$9),
                       IF(OR($BL67=マスタ!$C$4, $BL67=マスタ!$C$5, $BL67=マスタ!$C$6, $BL67=マスタ!$C$7, $BL67=マスタ!$C$8),
                            IF($X67&lt;=$BX$9, $BM$9,$BN$9), ""))))</f>
        <v/>
      </c>
      <c r="AA67" s="71"/>
      <c r="AB67" s="71"/>
      <c r="AC67" s="71"/>
      <c r="AD67" s="165"/>
      <c r="AE67" s="71"/>
      <c r="AF67" s="165"/>
      <c r="AG67" s="92"/>
      <c r="AH67" s="92"/>
      <c r="AI67" s="92"/>
      <c r="AJ67" s="92"/>
      <c r="AK67" s="121"/>
      <c r="AL67" s="121"/>
      <c r="AM67" s="121"/>
      <c r="AN67" s="121"/>
      <c r="AO67" s="92"/>
      <c r="AP67" s="130" t="str">
        <f t="shared" si="5"/>
        <v/>
      </c>
      <c r="AQ67" s="121"/>
      <c r="AR67" s="101" t="str">
        <f>IF(OR(SUMPRODUCT(--(AJ67:AQ67&lt;&gt;""))&lt;7,AND($AJ67=マスタ!$N$3,$AK67="")), "",
        IF($AJ67=マスタ!$N$5, $BO$9,
              IF(OR($F67=マスタ!$C$3, $F67=マスタ!$C$4, $F67=マスタ!$C$5),
                    IF(SUM($AL67,$AM67,$AP67,$AQ67)&gt;=1, $BM$9, $BN$9),
              IF(OR($F67=マスタ!$C$6, $F67=マスタ!$C$7, $F67=マスタ!$C$8),
                    IF($AK67&lt;10, $BO$9,
                          IF(AND(SUM($AL67,$AM67,$AP67,$AQ67)&gt;=($AK67*0.2), $AM67+$AP67+$AQ67&gt;=1),
                               $BM$9,$BN$9))))))</f>
        <v/>
      </c>
      <c r="AS67" s="101" t="str">
        <f>IF(OR(SUMPRODUCT(--(AJ67:AQ67&lt;&gt;""))&lt;7,AND($AJ67=マスタ!$N$3,$AK67="")), "",
     IF($AR67=$BN$9,$BN$9,
        IF($AJ67=マスタ!$N$5, $BO$9,
             IF(OR($F67=マスタ!$C$3, $F67=マスタ!$C$4, $F67=マスタ!$C$5),
                   IF($AQ67&gt;=1, $BM$9, $BN$9),
             IF(OR($F67=マスタ!$C$6, $F67=マスタ!$C$7, $F67=マスタ!$C$8),
                   IF($AK67&lt;5, IF($AQ67&gt;=1, $BM$9, $BN$9),
                         IF(OR($AQ67&gt;=1,
                                    AND(SUM($AL67,$AM67,$AP67,$AQ67)&gt;=$AK67*0.5, ($AM67+$AP67+$AQ67)&gt;=($AK67*0.2))),
                              $BM$9,$BN$9)))))))</f>
        <v/>
      </c>
      <c r="AT67" s="66"/>
      <c r="AU67" s="143"/>
      <c r="AV67" s="98" t="str" cm="1">
        <f t="array" aca="1" ref="AV67" ca="1">IF(AND($F67:$G67&lt;&gt;"", $I67:$K67&lt;&gt;"",
                 IF(OR($M67=$BM$9,$O67=$BM$9), TRUE, $L67&lt;&gt;""),
                 $M67&lt;&gt;"",$O67&lt;&gt;"",
                 IF($T67=$BM$9, TRUE, $Q67:$R67&lt;&gt;""),
                 IF(AND($BL67&lt;&gt;"", $BL67&lt;&gt;マスタ!$C$5, $BL67&lt;&gt;マスタ!$C$8), TRUE, $T67&lt;&gt;""),
                 IF(OR(AND($T67=$BM$9,  $Y67=$BO$9), $Y67=$BM$9), TRUE,$W67&lt;&gt;""),
                 IF(AND($BL67&lt;&gt;"", $BL67&lt;&gt;マスタ!$C$5, $BL67&lt;&gt;マスタ!$C$8), TRUE, $Y67&lt;&gt;""),
                 $AA67&lt;&gt;"",
                 IF($AA67=マスタ!$F$4, TRUE, $AB67&lt;&gt;""),
                 $AG67:$AO67&lt;&gt;"", $AQ67&lt;&gt;"", $AT67&lt;&gt;""),
        "（正常）入力済み", IF($C67= "", "（複数入力）未入力", "（エラー）一部未入力"))</f>
        <v>（複数入力）未入力</v>
      </c>
      <c r="AW67" s="98" t="str">
        <f t="shared" ca="1" si="6"/>
        <v/>
      </c>
      <c r="AX67" s="98" t="str">
        <f t="shared" ca="1" si="22"/>
        <v/>
      </c>
      <c r="AY67" s="98" t="str">
        <f t="shared" ca="1" si="23"/>
        <v/>
      </c>
      <c r="AZ67" s="98" t="str">
        <f t="shared" ca="1" si="24"/>
        <v/>
      </c>
      <c r="BA67" s="98" t="str">
        <f t="shared" ca="1" si="25"/>
        <v/>
      </c>
      <c r="BB67" s="98" t="str">
        <f t="shared" ca="1" si="26"/>
        <v/>
      </c>
      <c r="BC67" s="98" t="str">
        <f t="shared" ca="1" si="27"/>
        <v/>
      </c>
      <c r="BD67" s="98" t="str">
        <f t="shared" ca="1" si="28"/>
        <v/>
      </c>
      <c r="BE67" s="98" t="str">
        <f>IF($BL67="","",
   IF($T67=入力不可用2,
      IF(OR($BL67=マスタ!$C$5,$BL67=マスタ!$C$8), "未入力", "（正常）規定値"),
      IF(OR($BL67=マスタ!$C$5,$BL67=マスタ!$C$8), "（正常）規定値", "（エラー）値入力不可")))</f>
        <v/>
      </c>
      <c r="BF67" s="98" t="str">
        <f ca="1">IF($C67 = "", "",
       IF(AND(OR($BL67=マスタ!$C$5, $BL67=マスタ!$C$8), $T67 = ""), "未入力",
            IF(AND($Y67 = $BM$9, $T67 = $BO$9), "（エラー）「適合」のみ入力可", "（正常）規定値")))</f>
        <v/>
      </c>
      <c r="BG67" s="98" t="str">
        <f t="shared" ca="1" si="29"/>
        <v/>
      </c>
      <c r="BH67" s="98" t="str">
        <f t="shared" ca="1" si="30"/>
        <v/>
      </c>
      <c r="BI67" s="98" t="str">
        <f>IF($BL67="","",
   IF($Y67=入力不可用2,
      IF(OR($BL67=マスタ!$C$5,$BL67=マスタ!$C$8), "未入力", "（正常）規定値"),
      IF(OR($BL67=マスタ!$C$5,$BL67=マスタ!$C$8), "（正常）規定値", "（エラー）値入力不可")))</f>
        <v/>
      </c>
      <c r="BJ67" s="98" t="str">
        <f>IF($AA67="", "",
        IF($AA67=マスタ!$F$3,
             IF($AB67="", "未入力", "（正常）規定値"),
                  IF($AA67=マスタ!$F$4,
                       IF($AB67&lt;&gt;入力不可用2, "（エラー）値入力不可", "（正常）規定値"))))</f>
        <v/>
      </c>
      <c r="BL67" s="75" t="str">
        <f>IF(OR($F67 = マスタ!$C$5, F67 = マスタ!$C$8), $F67,
        IF(AND($F67 = マスタ!$C$3, 'その１事業者基本情報_入力シート（一部非公開）'!$U$16), $F67,
             IF(AND($F67 = マスタ!$C$4, 'その１事業者基本情報_入力シート（一部非公開）'!$S$16), $F67,
                  IF(AND(OR($F67 = マスタ!$C$6, $F67 = マスタ!$C$7),
                                'その１事業者基本情報_入力シート（一部非公開）'!$W$16), $F67,
                       IF(OR($F67 = マスタ!$C$3, $F67=マスタ!$C$4), マスタ!$C$5,
                            IF(OR($F67 = マスタ!$C$6, $F67 = マスタ!$C$7), マスタ!$C$8, ""))))))</f>
        <v/>
      </c>
      <c r="BM67" s="75" t="str">
        <f>IF($L67&lt;&gt;"", $L67,
       IF($M67 = マスタ!$B$3,
          IF(OR($F67=マスタ!$C$3,$F67=マスタ!$C$4,$F67=マスタ!$C$5),
            IF(OR($G67 = マスタ!$D$54, $G67 = マスタ!$D$55), 0.75, 0.87),
            IF(OR($G67 = マスタ!$D$54, $G67 = マスタ!$D$55), 0.62, 0.72)),
                 IF(ISBLANK($L67), "", $L67)))</f>
        <v/>
      </c>
      <c r="BN67" s="99" t="str">
        <f>IF($L67&lt;&gt;"", $L67,
        IF($O67 = マスタ!$B$3,
          IF(OR($F67=マスタ!$C$3,$F67=マスタ!$C$4,$F67=マスタ!$C$5), 0.6, 0.5),
             IF(ISBLANK($L67), "", $L67)))</f>
        <v/>
      </c>
      <c r="BO67" s="99" t="str">
        <f>IF($T67&lt;&gt;マスタ!$B$3,
        IF(ISBLANK($S67),"",$S67),
             IF($BL67=マスタ!$C$3,0.8,
             IF($BL67=マスタ!$C$4,0.85,
             IF($BL67=マスタ!$C$6,0.9,
             IF($BL67=マスタ!$C$7,0.9,
             IF($BL67=マスタ!$C$5,1,
             IF($BL67=マスタ!$C$8,1,"無効な入力")))))))</f>
        <v/>
      </c>
      <c r="BP67" s="99" t="str">
        <f>IF($Y67&lt;&gt;マスタ!$B$3,
   IF(ISBLANK($X67), "", $X67),
   IF($BL67=マスタ!$C$3, 0.75,
      IF($BL67=マスタ!$C$4, 0.8,
         IF($BL67=マスタ!$C$6, 0.8,
            IF($BL67=マスタ!$C$7, 0.8,
               IF($BL67=マスタ!$C$5, 0.8,
                  IF($BL67=マスタ!$C$8, 0.8, "無効な入力")))))))</f>
        <v/>
      </c>
      <c r="BQ67" s="75"/>
      <c r="BR67" s="75"/>
      <c r="BS67" s="75"/>
      <c r="BT67" s="75"/>
      <c r="BU67" s="75"/>
      <c r="BV67" s="75"/>
      <c r="BW67" s="75"/>
      <c r="BX67" s="75"/>
      <c r="BY67" s="75"/>
    </row>
    <row r="68" spans="3:77" ht="30.75" customHeight="1">
      <c r="C68" s="69" t="str" cm="1">
        <f t="array" aca="1" ref="C68" ca="1">IF(SUMPRODUCT(--($D68:$AU68 &lt;&gt; "")),RIGHT(YEAR(TODAY()),2)&amp;"01"&amp;REPT("0",4-LEN(ROW()-11))&amp;ROW()-11,"")</f>
        <v/>
      </c>
      <c r="D68" s="141"/>
      <c r="E68" s="142"/>
      <c r="F68" s="71"/>
      <c r="G68" s="66"/>
      <c r="H68" s="41" t="str">
        <f>IFERROR(VLOOKUP(G68,マスタ!$D$3:$E$55,2,FALSE),"")</f>
        <v/>
      </c>
      <c r="I68" s="93"/>
      <c r="J68" s="77"/>
      <c r="K68" s="66"/>
      <c r="L68" s="103"/>
      <c r="M68" s="71"/>
      <c r="N68" s="101" t="str">
        <f>IF($M68 = $BM$9, $BM$9,
        IF($L68 = "", "",
              IF(OR(
                          AND(OR($G68 = マスタ!$D$54, $G68 = マスタ!$D$55), $L68 &lt;= $BP$9),
                          AND($G68 &lt;&gt; マスタ!$D$54, $G68 &lt;&gt; マスタ!$D$55, $L68 &lt;= $BQ$9)
                         ), $BM$9, $BN$9)))</f>
        <v/>
      </c>
      <c r="O68" s="71"/>
      <c r="P68" s="101" t="str">
        <f t="shared" si="21"/>
        <v/>
      </c>
      <c r="Q68" s="124"/>
      <c r="R68" s="124"/>
      <c r="S68" s="112" t="str">
        <f t="shared" si="19"/>
        <v/>
      </c>
      <c r="T68" s="71"/>
      <c r="U68" s="41" t="str">
        <f>IF($T68=$BM$9, $BM$9,
        IF($S68="", "",
             IF(OR(AND($BL68=マスタ!$C$3, $S68&lt;=$BS$9),
                        AND($BL68=マスタ!$C$4, $S68&lt;=$BT$9),
                        AND(OR($BL68=マスタ!$C$6, $BL68=マスタ!$C$7), $S68&lt;=$BU$9),
                        AND(OR($BL68=マスタ!$C$5, $BL68=マスタ!$C$8), $S68&lt;=$BV$9)),
                  $BM$9, $BN$9)))</f>
        <v/>
      </c>
      <c r="V68" s="129" t="str">
        <f t="shared" si="16"/>
        <v/>
      </c>
      <c r="W68" s="124"/>
      <c r="X68" s="112" t="str">
        <f t="shared" si="20"/>
        <v/>
      </c>
      <c r="Y68" s="71"/>
      <c r="Z68" s="41" t="str">
        <f>IF($Y68=$BM$9, $BM$9,
        IF(AND($T68 = $BM$9, $Y68 = $BO$9), $BN$9,
             IF($BL68=マスタ!$C$3,
                  IF($X68&lt;=$BW$9, $BM$9,$BN$9),
                       IF(OR($BL68=マスタ!$C$4, $BL68=マスタ!$C$5, $BL68=マスタ!$C$6, $BL68=マスタ!$C$7, $BL68=マスタ!$C$8),
                            IF($X68&lt;=$BX$9, $BM$9,$BN$9), ""))))</f>
        <v/>
      </c>
      <c r="AA68" s="71"/>
      <c r="AB68" s="71"/>
      <c r="AC68" s="71"/>
      <c r="AD68" s="165"/>
      <c r="AE68" s="71"/>
      <c r="AF68" s="165"/>
      <c r="AG68" s="92"/>
      <c r="AH68" s="92"/>
      <c r="AI68" s="92"/>
      <c r="AJ68" s="92"/>
      <c r="AK68" s="121"/>
      <c r="AL68" s="121"/>
      <c r="AM68" s="121"/>
      <c r="AN68" s="121"/>
      <c r="AO68" s="92"/>
      <c r="AP68" s="130" t="str">
        <f t="shared" si="5"/>
        <v/>
      </c>
      <c r="AQ68" s="121"/>
      <c r="AR68" s="101" t="str">
        <f>IF(OR(SUMPRODUCT(--(AJ68:AQ68&lt;&gt;""))&lt;7,AND($AJ68=マスタ!$N$3,$AK68="")), "",
        IF($AJ68=マスタ!$N$5, $BO$9,
              IF(OR($F68=マスタ!$C$3, $F68=マスタ!$C$4, $F68=マスタ!$C$5),
                    IF(SUM($AL68,$AM68,$AP68,$AQ68)&gt;=1, $BM$9, $BN$9),
              IF(OR($F68=マスタ!$C$6, $F68=マスタ!$C$7, $F68=マスタ!$C$8),
                    IF($AK68&lt;10, $BO$9,
                          IF(AND(SUM($AL68,$AM68,$AP68,$AQ68)&gt;=($AK68*0.2), $AM68+$AP68+$AQ68&gt;=1),
                               $BM$9,$BN$9))))))</f>
        <v/>
      </c>
      <c r="AS68" s="101" t="str">
        <f>IF(OR(SUMPRODUCT(--(AJ68:AQ68&lt;&gt;""))&lt;7,AND($AJ68=マスタ!$N$3,$AK68="")), "",
     IF($AR68=$BN$9,$BN$9,
        IF($AJ68=マスタ!$N$5, $BO$9,
             IF(OR($F68=マスタ!$C$3, $F68=マスタ!$C$4, $F68=マスタ!$C$5),
                   IF($AQ68&gt;=1, $BM$9, $BN$9),
             IF(OR($F68=マスタ!$C$6, $F68=マスタ!$C$7, $F68=マスタ!$C$8),
                   IF($AK68&lt;5, IF($AQ68&gt;=1, $BM$9, $BN$9),
                         IF(OR($AQ68&gt;=1,
                                    AND(SUM($AL68,$AM68,$AP68,$AQ68)&gt;=$AK68*0.5, ($AM68+$AP68+$AQ68)&gt;=($AK68*0.2))),
                              $BM$9,$BN$9)))))))</f>
        <v/>
      </c>
      <c r="AT68" s="66"/>
      <c r="AU68" s="143"/>
      <c r="AV68" s="98" t="str" cm="1">
        <f t="array" aca="1" ref="AV68" ca="1">IF(AND($F68:$G68&lt;&gt;"", $I68:$K68&lt;&gt;"",
                 IF(OR($M68=$BM$9,$O68=$BM$9), TRUE, $L68&lt;&gt;""),
                 $M68&lt;&gt;"",$O68&lt;&gt;"",
                 IF($T68=$BM$9, TRUE, $Q68:$R68&lt;&gt;""),
                 IF(AND($BL68&lt;&gt;"", $BL68&lt;&gt;マスタ!$C$5, $BL68&lt;&gt;マスタ!$C$8), TRUE, $T68&lt;&gt;""),
                 IF(OR(AND($T68=$BM$9,  $Y68=$BO$9), $Y68=$BM$9), TRUE,$W68&lt;&gt;""),
                 IF(AND($BL68&lt;&gt;"", $BL68&lt;&gt;マスタ!$C$5, $BL68&lt;&gt;マスタ!$C$8), TRUE, $Y68&lt;&gt;""),
                 $AA68&lt;&gt;"",
                 IF($AA68=マスタ!$F$4, TRUE, $AB68&lt;&gt;""),
                 $AG68:$AO68&lt;&gt;"", $AQ68&lt;&gt;"", $AT68&lt;&gt;""),
        "（正常）入力済み", IF($C68= "", "（複数入力）未入力", "（エラー）一部未入力"))</f>
        <v>（複数入力）未入力</v>
      </c>
      <c r="AW68" s="98" t="str">
        <f t="shared" ca="1" si="6"/>
        <v/>
      </c>
      <c r="AX68" s="98" t="str">
        <f t="shared" ca="1" si="22"/>
        <v/>
      </c>
      <c r="AY68" s="98" t="str">
        <f t="shared" ca="1" si="23"/>
        <v/>
      </c>
      <c r="AZ68" s="98" t="str">
        <f t="shared" ca="1" si="24"/>
        <v/>
      </c>
      <c r="BA68" s="98" t="str">
        <f t="shared" ca="1" si="25"/>
        <v/>
      </c>
      <c r="BB68" s="98" t="str">
        <f t="shared" ca="1" si="26"/>
        <v/>
      </c>
      <c r="BC68" s="98" t="str">
        <f t="shared" ca="1" si="27"/>
        <v/>
      </c>
      <c r="BD68" s="98" t="str">
        <f t="shared" ca="1" si="28"/>
        <v/>
      </c>
      <c r="BE68" s="98" t="str">
        <f>IF($BL68="","",
   IF($T68=入力不可用2,
      IF(OR($BL68=マスタ!$C$5,$BL68=マスタ!$C$8), "未入力", "（正常）規定値"),
      IF(OR($BL68=マスタ!$C$5,$BL68=マスタ!$C$8), "（正常）規定値", "（エラー）値入力不可")))</f>
        <v/>
      </c>
      <c r="BF68" s="98" t="str">
        <f ca="1">IF($C68 = "", "",
       IF(AND(OR($BL68=マスタ!$C$5, $BL68=マスタ!$C$8), $T68 = ""), "未入力",
            IF(AND($Y68 = $BM$9, $T68 = $BO$9), "（エラー）「適合」のみ入力可", "（正常）規定値")))</f>
        <v/>
      </c>
      <c r="BG68" s="98" t="str">
        <f t="shared" ca="1" si="29"/>
        <v/>
      </c>
      <c r="BH68" s="98" t="str">
        <f t="shared" ca="1" si="30"/>
        <v/>
      </c>
      <c r="BI68" s="98" t="str">
        <f>IF($BL68="","",
   IF($Y68=入力不可用2,
      IF(OR($BL68=マスタ!$C$5,$BL68=マスタ!$C$8), "未入力", "（正常）規定値"),
      IF(OR($BL68=マスタ!$C$5,$BL68=マスタ!$C$8), "（正常）規定値", "（エラー）値入力不可")))</f>
        <v/>
      </c>
      <c r="BJ68" s="98" t="str">
        <f>IF($AA68="", "",
        IF($AA68=マスタ!$F$3,
             IF($AB68="", "未入力", "（正常）規定値"),
                  IF($AA68=マスタ!$F$4,
                       IF($AB68&lt;&gt;入力不可用2, "（エラー）値入力不可", "（正常）規定値"))))</f>
        <v/>
      </c>
      <c r="BL68" s="75" t="str">
        <f>IF(OR($F68 = マスタ!$C$5, F68 = マスタ!$C$8), $F68,
        IF(AND($F68 = マスタ!$C$3, 'その１事業者基本情報_入力シート（一部非公開）'!$U$16), $F68,
             IF(AND($F68 = マスタ!$C$4, 'その１事業者基本情報_入力シート（一部非公開）'!$S$16), $F68,
                  IF(AND(OR($F68 = マスタ!$C$6, $F68 = マスタ!$C$7),
                                'その１事業者基本情報_入力シート（一部非公開）'!$W$16), $F68,
                       IF(OR($F68 = マスタ!$C$3, $F68=マスタ!$C$4), マスタ!$C$5,
                            IF(OR($F68 = マスタ!$C$6, $F68 = マスタ!$C$7), マスタ!$C$8, ""))))))</f>
        <v/>
      </c>
      <c r="BM68" s="75" t="str">
        <f>IF($L68&lt;&gt;"", $L68,
       IF($M68 = マスタ!$B$3,
          IF(OR($F68=マスタ!$C$3,$F68=マスタ!$C$4,$F68=マスタ!$C$5),
            IF(OR($G68 = マスタ!$D$54, $G68 = マスタ!$D$55), 0.75, 0.87),
            IF(OR($G68 = マスタ!$D$54, $G68 = マスタ!$D$55), 0.62, 0.72)),
                 IF(ISBLANK($L68), "", $L68)))</f>
        <v/>
      </c>
      <c r="BN68" s="99" t="str">
        <f>IF($L68&lt;&gt;"", $L68,
        IF($O68 = マスタ!$B$3,
          IF(OR($F68=マスタ!$C$3,$F68=マスタ!$C$4,$F68=マスタ!$C$5), 0.6, 0.5),
             IF(ISBLANK($L68), "", $L68)))</f>
        <v/>
      </c>
      <c r="BO68" s="99" t="str">
        <f>IF($T68&lt;&gt;マスタ!$B$3,
        IF(ISBLANK($S68),"",$S68),
             IF($BL68=マスタ!$C$3,0.8,
             IF($BL68=マスタ!$C$4,0.85,
             IF($BL68=マスタ!$C$6,0.9,
             IF($BL68=マスタ!$C$7,0.9,
             IF($BL68=マスタ!$C$5,1,
             IF($BL68=マスタ!$C$8,1,"無効な入力")))))))</f>
        <v/>
      </c>
      <c r="BP68" s="99" t="str">
        <f>IF($Y68&lt;&gt;マスタ!$B$3,
   IF(ISBLANK($X68), "", $X68),
   IF($BL68=マスタ!$C$3, 0.75,
      IF($BL68=マスタ!$C$4, 0.8,
         IF($BL68=マスタ!$C$6, 0.8,
            IF($BL68=マスタ!$C$7, 0.8,
               IF($BL68=マスタ!$C$5, 0.8,
                  IF($BL68=マスタ!$C$8, 0.8, "無効な入力")))))))</f>
        <v/>
      </c>
      <c r="BQ68" s="75"/>
      <c r="BR68" s="75"/>
      <c r="BS68" s="75"/>
      <c r="BT68" s="75"/>
      <c r="BU68" s="75"/>
      <c r="BV68" s="75"/>
      <c r="BW68" s="75"/>
      <c r="BX68" s="75"/>
      <c r="BY68" s="75"/>
    </row>
    <row r="69" spans="3:77" ht="30.75" customHeight="1">
      <c r="C69" s="69" t="str" cm="1">
        <f t="array" aca="1" ref="C69" ca="1">IF(SUMPRODUCT(--($D69:$AU69 &lt;&gt; "")),RIGHT(YEAR(TODAY()),2)&amp;"01"&amp;REPT("0",4-LEN(ROW()-11))&amp;ROW()-11,"")</f>
        <v/>
      </c>
      <c r="D69" s="141"/>
      <c r="E69" s="142"/>
      <c r="F69" s="71"/>
      <c r="G69" s="66"/>
      <c r="H69" s="41" t="str">
        <f>IFERROR(VLOOKUP(G69,マスタ!$D$3:$E$55,2,FALSE),"")</f>
        <v/>
      </c>
      <c r="I69" s="93"/>
      <c r="J69" s="77"/>
      <c r="K69" s="66"/>
      <c r="L69" s="103"/>
      <c r="M69" s="71"/>
      <c r="N69" s="101" t="str">
        <f>IF($M69 = $BM$9, $BM$9,
        IF($L69 = "", "",
              IF(OR(
                          AND(OR($G69 = マスタ!$D$54, $G69 = マスタ!$D$55), $L69 &lt;= $BP$9),
                          AND($G69 &lt;&gt; マスタ!$D$54, $G69 &lt;&gt; マスタ!$D$55, $L69 &lt;= $BQ$9)
                         ), $BM$9, $BN$9)))</f>
        <v/>
      </c>
      <c r="O69" s="71"/>
      <c r="P69" s="101" t="str">
        <f t="shared" si="21"/>
        <v/>
      </c>
      <c r="Q69" s="124"/>
      <c r="R69" s="124"/>
      <c r="S69" s="112" t="str">
        <f t="shared" si="19"/>
        <v/>
      </c>
      <c r="T69" s="71"/>
      <c r="U69" s="41" t="str">
        <f>IF($T69=$BM$9, $BM$9,
        IF($S69="", "",
             IF(OR(AND($BL69=マスタ!$C$3, $S69&lt;=$BS$9),
                        AND($BL69=マスタ!$C$4, $S69&lt;=$BT$9),
                        AND(OR($BL69=マスタ!$C$6, $BL69=マスタ!$C$7), $S69&lt;=$BU$9),
                        AND(OR($BL69=マスタ!$C$5, $BL69=マスタ!$C$8), $S69&lt;=$BV$9)),
                  $BM$9, $BN$9)))</f>
        <v/>
      </c>
      <c r="V69" s="129" t="str">
        <f t="shared" si="16"/>
        <v/>
      </c>
      <c r="W69" s="124"/>
      <c r="X69" s="112" t="str">
        <f t="shared" si="20"/>
        <v/>
      </c>
      <c r="Y69" s="71"/>
      <c r="Z69" s="41" t="str">
        <f>IF($Y69=$BM$9, $BM$9,
        IF(AND($T69 = $BM$9, $Y69 = $BO$9), $BN$9,
             IF($BL69=マスタ!$C$3,
                  IF($X69&lt;=$BW$9, $BM$9,$BN$9),
                       IF(OR($BL69=マスタ!$C$4, $BL69=マスタ!$C$5, $BL69=マスタ!$C$6, $BL69=マスタ!$C$7, $BL69=マスタ!$C$8),
                            IF($X69&lt;=$BX$9, $BM$9,$BN$9), ""))))</f>
        <v/>
      </c>
      <c r="AA69" s="71"/>
      <c r="AB69" s="71"/>
      <c r="AC69" s="71"/>
      <c r="AD69" s="165"/>
      <c r="AE69" s="71"/>
      <c r="AF69" s="165"/>
      <c r="AG69" s="92"/>
      <c r="AH69" s="92"/>
      <c r="AI69" s="92"/>
      <c r="AJ69" s="92"/>
      <c r="AK69" s="121"/>
      <c r="AL69" s="121"/>
      <c r="AM69" s="121"/>
      <c r="AN69" s="121"/>
      <c r="AO69" s="92"/>
      <c r="AP69" s="130" t="str">
        <f t="shared" si="5"/>
        <v/>
      </c>
      <c r="AQ69" s="121"/>
      <c r="AR69" s="101" t="str">
        <f>IF(OR(SUMPRODUCT(--(AJ69:AQ69&lt;&gt;""))&lt;7,AND($AJ69=マスタ!$N$3,$AK69="")), "",
        IF($AJ69=マスタ!$N$5, $BO$9,
              IF(OR($F69=マスタ!$C$3, $F69=マスタ!$C$4, $F69=マスタ!$C$5),
                    IF(SUM($AL69,$AM69,$AP69,$AQ69)&gt;=1, $BM$9, $BN$9),
              IF(OR($F69=マスタ!$C$6, $F69=マスタ!$C$7, $F69=マスタ!$C$8),
                    IF($AK69&lt;10, $BO$9,
                          IF(AND(SUM($AL69,$AM69,$AP69,$AQ69)&gt;=($AK69*0.2), $AM69+$AP69+$AQ69&gt;=1),
                               $BM$9,$BN$9))))))</f>
        <v/>
      </c>
      <c r="AS69" s="101" t="str">
        <f>IF(OR(SUMPRODUCT(--(AJ69:AQ69&lt;&gt;""))&lt;7,AND($AJ69=マスタ!$N$3,$AK69="")), "",
     IF($AR69=$BN$9,$BN$9,
        IF($AJ69=マスタ!$N$5, $BO$9,
             IF(OR($F69=マスタ!$C$3, $F69=マスタ!$C$4, $F69=マスタ!$C$5),
                   IF($AQ69&gt;=1, $BM$9, $BN$9),
             IF(OR($F69=マスタ!$C$6, $F69=マスタ!$C$7, $F69=マスタ!$C$8),
                   IF($AK69&lt;5, IF($AQ69&gt;=1, $BM$9, $BN$9),
                         IF(OR($AQ69&gt;=1,
                                    AND(SUM($AL69,$AM69,$AP69,$AQ69)&gt;=$AK69*0.5, ($AM69+$AP69+$AQ69)&gt;=($AK69*0.2))),
                              $BM$9,$BN$9)))))))</f>
        <v/>
      </c>
      <c r="AT69" s="66"/>
      <c r="AU69" s="143"/>
      <c r="AV69" s="98" t="str" cm="1">
        <f t="array" aca="1" ref="AV69" ca="1">IF(AND($F69:$G69&lt;&gt;"", $I69:$K69&lt;&gt;"",
                 IF(OR($M69=$BM$9,$O69=$BM$9), TRUE, $L69&lt;&gt;""),
                 $M69&lt;&gt;"",$O69&lt;&gt;"",
                 IF($T69=$BM$9, TRUE, $Q69:$R69&lt;&gt;""),
                 IF(AND($BL69&lt;&gt;"", $BL69&lt;&gt;マスタ!$C$5, $BL69&lt;&gt;マスタ!$C$8), TRUE, $T69&lt;&gt;""),
                 IF(OR(AND($T69=$BM$9,  $Y69=$BO$9), $Y69=$BM$9), TRUE,$W69&lt;&gt;""),
                 IF(AND($BL69&lt;&gt;"", $BL69&lt;&gt;マスタ!$C$5, $BL69&lt;&gt;マスタ!$C$8), TRUE, $Y69&lt;&gt;""),
                 $AA69&lt;&gt;"",
                 IF($AA69=マスタ!$F$4, TRUE, $AB69&lt;&gt;""),
                 $AG69:$AO69&lt;&gt;"", $AQ69&lt;&gt;"", $AT69&lt;&gt;""),
        "（正常）入力済み", IF($C69= "", "（複数入力）未入力", "（エラー）一部未入力"))</f>
        <v>（複数入力）未入力</v>
      </c>
      <c r="AW69" s="98" t="str">
        <f t="shared" ca="1" si="6"/>
        <v/>
      </c>
      <c r="AX69" s="98" t="str">
        <f t="shared" ca="1" si="22"/>
        <v/>
      </c>
      <c r="AY69" s="98" t="str">
        <f t="shared" ca="1" si="23"/>
        <v/>
      </c>
      <c r="AZ69" s="98" t="str">
        <f t="shared" ca="1" si="24"/>
        <v/>
      </c>
      <c r="BA69" s="98" t="str">
        <f t="shared" ca="1" si="25"/>
        <v/>
      </c>
      <c r="BB69" s="98" t="str">
        <f t="shared" ca="1" si="26"/>
        <v/>
      </c>
      <c r="BC69" s="98" t="str">
        <f t="shared" ca="1" si="27"/>
        <v/>
      </c>
      <c r="BD69" s="98" t="str">
        <f t="shared" ca="1" si="28"/>
        <v/>
      </c>
      <c r="BE69" s="98" t="str">
        <f>IF($BL69="","",
   IF($T69=入力不可用2,
      IF(OR($BL69=マスタ!$C$5,$BL69=マスタ!$C$8), "未入力", "（正常）規定値"),
      IF(OR($BL69=マスタ!$C$5,$BL69=マスタ!$C$8), "（正常）規定値", "（エラー）値入力不可")))</f>
        <v/>
      </c>
      <c r="BF69" s="98" t="str">
        <f ca="1">IF($C69 = "", "",
       IF(AND(OR($BL69=マスタ!$C$5, $BL69=マスタ!$C$8), $T69 = ""), "未入力",
            IF(AND($Y69 = $BM$9, $T69 = $BO$9), "（エラー）「適合」のみ入力可", "（正常）規定値")))</f>
        <v/>
      </c>
      <c r="BG69" s="98" t="str">
        <f t="shared" ca="1" si="29"/>
        <v/>
      </c>
      <c r="BH69" s="98" t="str">
        <f t="shared" ca="1" si="30"/>
        <v/>
      </c>
      <c r="BI69" s="98" t="str">
        <f>IF($BL69="","",
   IF($Y69=入力不可用2,
      IF(OR($BL69=マスタ!$C$5,$BL69=マスタ!$C$8), "未入力", "（正常）規定値"),
      IF(OR($BL69=マスタ!$C$5,$BL69=マスタ!$C$8), "（正常）規定値", "（エラー）値入力不可")))</f>
        <v/>
      </c>
      <c r="BJ69" s="98" t="str">
        <f>IF($AA69="", "",
        IF($AA69=マスタ!$F$3,
             IF($AB69="", "未入力", "（正常）規定値"),
                  IF($AA69=マスタ!$F$4,
                       IF($AB69&lt;&gt;入力不可用2, "（エラー）値入力不可", "（正常）規定値"))))</f>
        <v/>
      </c>
      <c r="BL69" s="75" t="str">
        <f>IF(OR($F69 = マスタ!$C$5, F69 = マスタ!$C$8), $F69,
        IF(AND($F69 = マスタ!$C$3, 'その１事業者基本情報_入力シート（一部非公開）'!$U$16), $F69,
             IF(AND($F69 = マスタ!$C$4, 'その１事業者基本情報_入力シート（一部非公開）'!$S$16), $F69,
                  IF(AND(OR($F69 = マスタ!$C$6, $F69 = マスタ!$C$7),
                                'その１事業者基本情報_入力シート（一部非公開）'!$W$16), $F69,
                       IF(OR($F69 = マスタ!$C$3, $F69=マスタ!$C$4), マスタ!$C$5,
                            IF(OR($F69 = マスタ!$C$6, $F69 = マスタ!$C$7), マスタ!$C$8, ""))))))</f>
        <v/>
      </c>
      <c r="BM69" s="75" t="str">
        <f>IF($L69&lt;&gt;"", $L69,
       IF($M69 = マスタ!$B$3,
          IF(OR($F69=マスタ!$C$3,$F69=マスタ!$C$4,$F69=マスタ!$C$5),
            IF(OR($G69 = マスタ!$D$54, $G69 = マスタ!$D$55), 0.75, 0.87),
            IF(OR($G69 = マスタ!$D$54, $G69 = マスタ!$D$55), 0.62, 0.72)),
                 IF(ISBLANK($L69), "", $L69)))</f>
        <v/>
      </c>
      <c r="BN69" s="99" t="str">
        <f>IF($L69&lt;&gt;"", $L69,
        IF($O69 = マスタ!$B$3,
          IF(OR($F69=マスタ!$C$3,$F69=マスタ!$C$4,$F69=マスタ!$C$5), 0.6, 0.5),
             IF(ISBLANK($L69), "", $L69)))</f>
        <v/>
      </c>
      <c r="BO69" s="99" t="str">
        <f>IF($T69&lt;&gt;マスタ!$B$3,
        IF(ISBLANK($S69),"",$S69),
             IF($BL69=マスタ!$C$3,0.8,
             IF($BL69=マスタ!$C$4,0.85,
             IF($BL69=マスタ!$C$6,0.9,
             IF($BL69=マスタ!$C$7,0.9,
             IF($BL69=マスタ!$C$5,1,
             IF($BL69=マスタ!$C$8,1,"無効な入力")))))))</f>
        <v/>
      </c>
      <c r="BP69" s="99" t="str">
        <f>IF($Y69&lt;&gt;マスタ!$B$3,
   IF(ISBLANK($X69), "", $X69),
   IF($BL69=マスタ!$C$3, 0.75,
      IF($BL69=マスタ!$C$4, 0.8,
         IF($BL69=マスタ!$C$6, 0.8,
            IF($BL69=マスタ!$C$7, 0.8,
               IF($BL69=マスタ!$C$5, 0.8,
                  IF($BL69=マスタ!$C$8, 0.8, "無効な入力")))))))</f>
        <v/>
      </c>
      <c r="BQ69" s="75"/>
      <c r="BR69" s="75"/>
      <c r="BS69" s="75"/>
      <c r="BT69" s="75"/>
      <c r="BU69" s="75"/>
      <c r="BV69" s="75"/>
      <c r="BW69" s="75"/>
      <c r="BX69" s="75"/>
      <c r="BY69" s="75"/>
    </row>
    <row r="70" spans="3:77" ht="30.75" customHeight="1">
      <c r="C70" s="69" t="str" cm="1">
        <f t="array" aca="1" ref="C70" ca="1">IF(SUMPRODUCT(--($D70:$AU70 &lt;&gt; "")),RIGHT(YEAR(TODAY()),2)&amp;"01"&amp;REPT("0",4-LEN(ROW()-11))&amp;ROW()-11,"")</f>
        <v/>
      </c>
      <c r="D70" s="141"/>
      <c r="E70" s="142"/>
      <c r="F70" s="71"/>
      <c r="G70" s="66"/>
      <c r="H70" s="41" t="str">
        <f>IFERROR(VLOOKUP(G70,マスタ!$D$3:$E$55,2,FALSE),"")</f>
        <v/>
      </c>
      <c r="I70" s="93"/>
      <c r="J70" s="77"/>
      <c r="K70" s="66"/>
      <c r="L70" s="103"/>
      <c r="M70" s="71"/>
      <c r="N70" s="101" t="str">
        <f>IF($M70 = $BM$9, $BM$9,
        IF($L70 = "", "",
              IF(OR(
                          AND(OR($G70 = マスタ!$D$54, $G70 = マスタ!$D$55), $L70 &lt;= $BP$9),
                          AND($G70 &lt;&gt; マスタ!$D$54, $G70 &lt;&gt; マスタ!$D$55, $L70 &lt;= $BQ$9)
                         ), $BM$9, $BN$9)))</f>
        <v/>
      </c>
      <c r="O70" s="71"/>
      <c r="P70" s="101" t="str">
        <f t="shared" si="21"/>
        <v/>
      </c>
      <c r="Q70" s="124"/>
      <c r="R70" s="124"/>
      <c r="S70" s="112" t="str">
        <f t="shared" si="19"/>
        <v/>
      </c>
      <c r="T70" s="71"/>
      <c r="U70" s="41" t="str">
        <f>IF($T70=$BM$9, $BM$9,
        IF($S70="", "",
             IF(OR(AND($BL70=マスタ!$C$3, $S70&lt;=$BS$9),
                        AND($BL70=マスタ!$C$4, $S70&lt;=$BT$9),
                        AND(OR($BL70=マスタ!$C$6, $BL70=マスタ!$C$7), $S70&lt;=$BU$9),
                        AND(OR($BL70=マスタ!$C$5, $BL70=マスタ!$C$8), $S70&lt;=$BV$9)),
                  $BM$9, $BN$9)))</f>
        <v/>
      </c>
      <c r="V70" s="129" t="str">
        <f t="shared" si="16"/>
        <v/>
      </c>
      <c r="W70" s="124"/>
      <c r="X70" s="112" t="str">
        <f t="shared" si="20"/>
        <v/>
      </c>
      <c r="Y70" s="71"/>
      <c r="Z70" s="41" t="str">
        <f>IF($Y70=$BM$9, $BM$9,
        IF(AND($T70 = $BM$9, $Y70 = $BO$9), $BN$9,
             IF($BL70=マスタ!$C$3,
                  IF($X70&lt;=$BW$9, $BM$9,$BN$9),
                       IF(OR($BL70=マスタ!$C$4, $BL70=マスタ!$C$5, $BL70=マスタ!$C$6, $BL70=マスタ!$C$7, $BL70=マスタ!$C$8),
                            IF($X70&lt;=$BX$9, $BM$9,$BN$9), ""))))</f>
        <v/>
      </c>
      <c r="AA70" s="71"/>
      <c r="AB70" s="71"/>
      <c r="AC70" s="71"/>
      <c r="AD70" s="165"/>
      <c r="AE70" s="71"/>
      <c r="AF70" s="165"/>
      <c r="AG70" s="92"/>
      <c r="AH70" s="92"/>
      <c r="AI70" s="92"/>
      <c r="AJ70" s="92"/>
      <c r="AK70" s="121"/>
      <c r="AL70" s="121"/>
      <c r="AM70" s="121"/>
      <c r="AN70" s="121"/>
      <c r="AO70" s="92"/>
      <c r="AP70" s="130" t="str">
        <f t="shared" si="5"/>
        <v/>
      </c>
      <c r="AQ70" s="121"/>
      <c r="AR70" s="101" t="str">
        <f>IF(OR(SUMPRODUCT(--(AJ70:AQ70&lt;&gt;""))&lt;7,AND($AJ70=マスタ!$N$3,$AK70="")), "",
        IF($AJ70=マスタ!$N$5, $BO$9,
              IF(OR($F70=マスタ!$C$3, $F70=マスタ!$C$4, $F70=マスタ!$C$5),
                    IF(SUM($AL70,$AM70,$AP70,$AQ70)&gt;=1, $BM$9, $BN$9),
              IF(OR($F70=マスタ!$C$6, $F70=マスタ!$C$7, $F70=マスタ!$C$8),
                    IF($AK70&lt;10, $BO$9,
                          IF(AND(SUM($AL70,$AM70,$AP70,$AQ70)&gt;=($AK70*0.2), $AM70+$AP70+$AQ70&gt;=1),
                               $BM$9,$BN$9))))))</f>
        <v/>
      </c>
      <c r="AS70" s="101" t="str">
        <f>IF(OR(SUMPRODUCT(--(AJ70:AQ70&lt;&gt;""))&lt;7,AND($AJ70=マスタ!$N$3,$AK70="")), "",
     IF($AR70=$BN$9,$BN$9,
        IF($AJ70=マスタ!$N$5, $BO$9,
             IF(OR($F70=マスタ!$C$3, $F70=マスタ!$C$4, $F70=マスタ!$C$5),
                   IF($AQ70&gt;=1, $BM$9, $BN$9),
             IF(OR($F70=マスタ!$C$6, $F70=マスタ!$C$7, $F70=マスタ!$C$8),
                   IF($AK70&lt;5, IF($AQ70&gt;=1, $BM$9, $BN$9),
                         IF(OR($AQ70&gt;=1,
                                    AND(SUM($AL70,$AM70,$AP70,$AQ70)&gt;=$AK70*0.5, ($AM70+$AP70+$AQ70)&gt;=($AK70*0.2))),
                              $BM$9,$BN$9)))))))</f>
        <v/>
      </c>
      <c r="AT70" s="66"/>
      <c r="AU70" s="143"/>
      <c r="AV70" s="98" t="str" cm="1">
        <f t="array" aca="1" ref="AV70" ca="1">IF(AND($F70:$G70&lt;&gt;"", $I70:$K70&lt;&gt;"",
                 IF(OR($M70=$BM$9,$O70=$BM$9), TRUE, $L70&lt;&gt;""),
                 $M70&lt;&gt;"",$O70&lt;&gt;"",
                 IF($T70=$BM$9, TRUE, $Q70:$R70&lt;&gt;""),
                 IF(AND($BL70&lt;&gt;"", $BL70&lt;&gt;マスタ!$C$5, $BL70&lt;&gt;マスタ!$C$8), TRUE, $T70&lt;&gt;""),
                 IF(OR(AND($T70=$BM$9,  $Y70=$BO$9), $Y70=$BM$9), TRUE,$W70&lt;&gt;""),
                 IF(AND($BL70&lt;&gt;"", $BL70&lt;&gt;マスタ!$C$5, $BL70&lt;&gt;マスタ!$C$8), TRUE, $Y70&lt;&gt;""),
                 $AA70&lt;&gt;"",
                 IF($AA70=マスタ!$F$4, TRUE, $AB70&lt;&gt;""),
                 $AG70:$AO70&lt;&gt;"", $AQ70&lt;&gt;"", $AT70&lt;&gt;""),
        "（正常）入力済み", IF($C70= "", "（複数入力）未入力", "（エラー）一部未入力"))</f>
        <v>（複数入力）未入力</v>
      </c>
      <c r="AW70" s="98" t="str">
        <f t="shared" ca="1" si="6"/>
        <v/>
      </c>
      <c r="AX70" s="98" t="str">
        <f t="shared" ca="1" si="22"/>
        <v/>
      </c>
      <c r="AY70" s="98" t="str">
        <f t="shared" ca="1" si="23"/>
        <v/>
      </c>
      <c r="AZ70" s="98" t="str">
        <f t="shared" ca="1" si="24"/>
        <v/>
      </c>
      <c r="BA70" s="98" t="str">
        <f t="shared" ca="1" si="25"/>
        <v/>
      </c>
      <c r="BB70" s="98" t="str">
        <f t="shared" ca="1" si="26"/>
        <v/>
      </c>
      <c r="BC70" s="98" t="str">
        <f t="shared" ca="1" si="27"/>
        <v/>
      </c>
      <c r="BD70" s="98" t="str">
        <f t="shared" ca="1" si="28"/>
        <v/>
      </c>
      <c r="BE70" s="98" t="str">
        <f>IF($BL70="","",
   IF($T70=入力不可用2,
      IF(OR($BL70=マスタ!$C$5,$BL70=マスタ!$C$8), "未入力", "（正常）規定値"),
      IF(OR($BL70=マスタ!$C$5,$BL70=マスタ!$C$8), "（正常）規定値", "（エラー）値入力不可")))</f>
        <v/>
      </c>
      <c r="BF70" s="98" t="str">
        <f ca="1">IF($C70 = "", "",
       IF(AND(OR($BL70=マスタ!$C$5, $BL70=マスタ!$C$8), $T70 = ""), "未入力",
            IF(AND($Y70 = $BM$9, $T70 = $BO$9), "（エラー）「適合」のみ入力可", "（正常）規定値")))</f>
        <v/>
      </c>
      <c r="BG70" s="98" t="str">
        <f t="shared" ca="1" si="29"/>
        <v/>
      </c>
      <c r="BH70" s="98" t="str">
        <f t="shared" ca="1" si="30"/>
        <v/>
      </c>
      <c r="BI70" s="98" t="str">
        <f>IF($BL70="","",
   IF($Y70=入力不可用2,
      IF(OR($BL70=マスタ!$C$5,$BL70=マスタ!$C$8), "未入力", "（正常）規定値"),
      IF(OR($BL70=マスタ!$C$5,$BL70=マスタ!$C$8), "（正常）規定値", "（エラー）値入力不可")))</f>
        <v/>
      </c>
      <c r="BJ70" s="98" t="str">
        <f>IF($AA70="", "",
        IF($AA70=マスタ!$F$3,
             IF($AB70="", "未入力", "（正常）規定値"),
                  IF($AA70=マスタ!$F$4,
                       IF($AB70&lt;&gt;入力不可用2, "（エラー）値入力不可", "（正常）規定値"))))</f>
        <v/>
      </c>
      <c r="BL70" s="75" t="str">
        <f>IF(OR($F70 = マスタ!$C$5, F70 = マスタ!$C$8), $F70,
        IF(AND($F70 = マスタ!$C$3, 'その１事業者基本情報_入力シート（一部非公開）'!$U$16), $F70,
             IF(AND($F70 = マスタ!$C$4, 'その１事業者基本情報_入力シート（一部非公開）'!$S$16), $F70,
                  IF(AND(OR($F70 = マスタ!$C$6, $F70 = マスタ!$C$7),
                                'その１事業者基本情報_入力シート（一部非公開）'!$W$16), $F70,
                       IF(OR($F70 = マスタ!$C$3, $F70=マスタ!$C$4), マスタ!$C$5,
                            IF(OR($F70 = マスタ!$C$6, $F70 = マスタ!$C$7), マスタ!$C$8, ""))))))</f>
        <v/>
      </c>
      <c r="BM70" s="75" t="str">
        <f>IF($L70&lt;&gt;"", $L70,
       IF($M70 = マスタ!$B$3,
          IF(OR($F70=マスタ!$C$3,$F70=マスタ!$C$4,$F70=マスタ!$C$5),
            IF(OR($G70 = マスタ!$D$54, $G70 = マスタ!$D$55), 0.75, 0.87),
            IF(OR($G70 = マスタ!$D$54, $G70 = マスタ!$D$55), 0.62, 0.72)),
                 IF(ISBLANK($L70), "", $L70)))</f>
        <v/>
      </c>
      <c r="BN70" s="99" t="str">
        <f>IF($L70&lt;&gt;"", $L70,
        IF($O70 = マスタ!$B$3,
          IF(OR($F70=マスタ!$C$3,$F70=マスタ!$C$4,$F70=マスタ!$C$5), 0.6, 0.5),
             IF(ISBLANK($L70), "", $L70)))</f>
        <v/>
      </c>
      <c r="BO70" s="99" t="str">
        <f>IF($T70&lt;&gt;マスタ!$B$3,
        IF(ISBLANK($S70),"",$S70),
             IF($BL70=マスタ!$C$3,0.8,
             IF($BL70=マスタ!$C$4,0.85,
             IF($BL70=マスタ!$C$6,0.9,
             IF($BL70=マスタ!$C$7,0.9,
             IF($BL70=マスタ!$C$5,1,
             IF($BL70=マスタ!$C$8,1,"無効な入力")))))))</f>
        <v/>
      </c>
      <c r="BP70" s="99" t="str">
        <f>IF($Y70&lt;&gt;マスタ!$B$3,
   IF(ISBLANK($X70), "", $X70),
   IF($BL70=マスタ!$C$3, 0.75,
      IF($BL70=マスタ!$C$4, 0.8,
         IF($BL70=マスタ!$C$6, 0.8,
            IF($BL70=マスタ!$C$7, 0.8,
               IF($BL70=マスタ!$C$5, 0.8,
                  IF($BL70=マスタ!$C$8, 0.8, "無効な入力")))))))</f>
        <v/>
      </c>
      <c r="BQ70" s="75"/>
      <c r="BR70" s="75"/>
      <c r="BS70" s="75"/>
      <c r="BT70" s="75"/>
      <c r="BU70" s="75"/>
      <c r="BV70" s="75"/>
      <c r="BW70" s="75"/>
      <c r="BX70" s="75"/>
      <c r="BY70" s="75"/>
    </row>
    <row r="71" spans="3:77" ht="30.75" customHeight="1">
      <c r="C71" s="69" t="str" cm="1">
        <f t="array" aca="1" ref="C71" ca="1">IF(SUMPRODUCT(--($D71:$AU71 &lt;&gt; "")),RIGHT(YEAR(TODAY()),2)&amp;"01"&amp;REPT("0",4-LEN(ROW()-11))&amp;ROW()-11,"")</f>
        <v/>
      </c>
      <c r="D71" s="141"/>
      <c r="E71" s="142"/>
      <c r="F71" s="71"/>
      <c r="G71" s="66"/>
      <c r="H71" s="41" t="str">
        <f>IFERROR(VLOOKUP(G71,マスタ!$D$3:$E$55,2,FALSE),"")</f>
        <v/>
      </c>
      <c r="I71" s="93"/>
      <c r="J71" s="77"/>
      <c r="K71" s="66"/>
      <c r="L71" s="103"/>
      <c r="M71" s="71"/>
      <c r="N71" s="101" t="str">
        <f>IF($M71 = $BM$9, $BM$9,
        IF($L71 = "", "",
              IF(OR(
                          AND(OR($G71 = マスタ!$D$54, $G71 = マスタ!$D$55), $L71 &lt;= $BP$9),
                          AND($G71 &lt;&gt; マスタ!$D$54, $G71 &lt;&gt; マスタ!$D$55, $L71 &lt;= $BQ$9)
                         ), $BM$9, $BN$9)))</f>
        <v/>
      </c>
      <c r="O71" s="71"/>
      <c r="P71" s="101" t="str">
        <f t="shared" si="21"/>
        <v/>
      </c>
      <c r="Q71" s="124"/>
      <c r="R71" s="124"/>
      <c r="S71" s="112" t="str">
        <f t="shared" si="19"/>
        <v/>
      </c>
      <c r="T71" s="71"/>
      <c r="U71" s="41" t="str">
        <f>IF($T71=$BM$9, $BM$9,
        IF($S71="", "",
             IF(OR(AND($BL71=マスタ!$C$3, $S71&lt;=$BS$9),
                        AND($BL71=マスタ!$C$4, $S71&lt;=$BT$9),
                        AND(OR($BL71=マスタ!$C$6, $BL71=マスタ!$C$7), $S71&lt;=$BU$9),
                        AND(OR($BL71=マスタ!$C$5, $BL71=マスタ!$C$8), $S71&lt;=$BV$9)),
                  $BM$9, $BN$9)))</f>
        <v/>
      </c>
      <c r="V71" s="129" t="str">
        <f t="shared" si="16"/>
        <v/>
      </c>
      <c r="W71" s="124"/>
      <c r="X71" s="112" t="str">
        <f t="shared" si="20"/>
        <v/>
      </c>
      <c r="Y71" s="71"/>
      <c r="Z71" s="41" t="str">
        <f>IF($Y71=$BM$9, $BM$9,
        IF(AND($T71 = $BM$9, $Y71 = $BO$9), $BN$9,
             IF($BL71=マスタ!$C$3,
                  IF($X71&lt;=$BW$9, $BM$9,$BN$9),
                       IF(OR($BL71=マスタ!$C$4, $BL71=マスタ!$C$5, $BL71=マスタ!$C$6, $BL71=マスタ!$C$7, $BL71=マスタ!$C$8),
                            IF($X71&lt;=$BX$9, $BM$9,$BN$9), ""))))</f>
        <v/>
      </c>
      <c r="AA71" s="71"/>
      <c r="AB71" s="71"/>
      <c r="AC71" s="71"/>
      <c r="AD71" s="165"/>
      <c r="AE71" s="71"/>
      <c r="AF71" s="165"/>
      <c r="AG71" s="92"/>
      <c r="AH71" s="92"/>
      <c r="AI71" s="92"/>
      <c r="AJ71" s="92"/>
      <c r="AK71" s="121"/>
      <c r="AL71" s="121"/>
      <c r="AM71" s="121"/>
      <c r="AN71" s="121"/>
      <c r="AO71" s="92"/>
      <c r="AP71" s="130" t="str">
        <f t="shared" si="5"/>
        <v/>
      </c>
      <c r="AQ71" s="121"/>
      <c r="AR71" s="101" t="str">
        <f>IF(OR(SUMPRODUCT(--(AJ71:AQ71&lt;&gt;""))&lt;7,AND($AJ71=マスタ!$N$3,$AK71="")), "",
        IF($AJ71=マスタ!$N$5, $BO$9,
              IF(OR($F71=マスタ!$C$3, $F71=マスタ!$C$4, $F71=マスタ!$C$5),
                    IF(SUM($AL71,$AM71,$AP71,$AQ71)&gt;=1, $BM$9, $BN$9),
              IF(OR($F71=マスタ!$C$6, $F71=マスタ!$C$7, $F71=マスタ!$C$8),
                    IF($AK71&lt;10, $BO$9,
                          IF(AND(SUM($AL71,$AM71,$AP71,$AQ71)&gt;=($AK71*0.2), $AM71+$AP71+$AQ71&gt;=1),
                               $BM$9,$BN$9))))))</f>
        <v/>
      </c>
      <c r="AS71" s="101" t="str">
        <f>IF(OR(SUMPRODUCT(--(AJ71:AQ71&lt;&gt;""))&lt;7,AND($AJ71=マスタ!$N$3,$AK71="")), "",
     IF($AR71=$BN$9,$BN$9,
        IF($AJ71=マスタ!$N$5, $BO$9,
             IF(OR($F71=マスタ!$C$3, $F71=マスタ!$C$4, $F71=マスタ!$C$5),
                   IF($AQ71&gt;=1, $BM$9, $BN$9),
             IF(OR($F71=マスタ!$C$6, $F71=マスタ!$C$7, $F71=マスタ!$C$8),
                   IF($AK71&lt;5, IF($AQ71&gt;=1, $BM$9, $BN$9),
                         IF(OR($AQ71&gt;=1,
                                    AND(SUM($AL71,$AM71,$AP71,$AQ71)&gt;=$AK71*0.5, ($AM71+$AP71+$AQ71)&gt;=($AK71*0.2))),
                              $BM$9,$BN$9)))))))</f>
        <v/>
      </c>
      <c r="AT71" s="66"/>
      <c r="AU71" s="143"/>
      <c r="AV71" s="98" t="str" cm="1">
        <f t="array" aca="1" ref="AV71" ca="1">IF(AND($F71:$G71&lt;&gt;"", $I71:$K71&lt;&gt;"",
                 IF(OR($M71=$BM$9,$O71=$BM$9), TRUE, $L71&lt;&gt;""),
                 $M71&lt;&gt;"",$O71&lt;&gt;"",
                 IF($T71=$BM$9, TRUE, $Q71:$R71&lt;&gt;""),
                 IF(AND($BL71&lt;&gt;"", $BL71&lt;&gt;マスタ!$C$5, $BL71&lt;&gt;マスタ!$C$8), TRUE, $T71&lt;&gt;""),
                 IF(OR(AND($T71=$BM$9,  $Y71=$BO$9), $Y71=$BM$9), TRUE,$W71&lt;&gt;""),
                 IF(AND($BL71&lt;&gt;"", $BL71&lt;&gt;マスタ!$C$5, $BL71&lt;&gt;マスタ!$C$8), TRUE, $Y71&lt;&gt;""),
                 $AA71&lt;&gt;"",
                 IF($AA71=マスタ!$F$4, TRUE, $AB71&lt;&gt;""),
                 $AG71:$AO71&lt;&gt;"", $AQ71&lt;&gt;"", $AT71&lt;&gt;""),
        "（正常）入力済み", IF($C71= "", "（複数入力）未入力", "（エラー）一部未入力"))</f>
        <v>（複数入力）未入力</v>
      </c>
      <c r="AW71" s="98" t="str">
        <f t="shared" ca="1" si="6"/>
        <v/>
      </c>
      <c r="AX71" s="98" t="str">
        <f t="shared" ca="1" si="22"/>
        <v/>
      </c>
      <c r="AY71" s="98" t="str">
        <f t="shared" ca="1" si="23"/>
        <v/>
      </c>
      <c r="AZ71" s="98" t="str">
        <f t="shared" ca="1" si="24"/>
        <v/>
      </c>
      <c r="BA71" s="98" t="str">
        <f t="shared" ca="1" si="25"/>
        <v/>
      </c>
      <c r="BB71" s="98" t="str">
        <f t="shared" ca="1" si="26"/>
        <v/>
      </c>
      <c r="BC71" s="98" t="str">
        <f t="shared" ca="1" si="27"/>
        <v/>
      </c>
      <c r="BD71" s="98" t="str">
        <f t="shared" ca="1" si="28"/>
        <v/>
      </c>
      <c r="BE71" s="98" t="str">
        <f>IF($BL71="","",
   IF($T71=入力不可用2,
      IF(OR($BL71=マスタ!$C$5,$BL71=マスタ!$C$8), "未入力", "（正常）規定値"),
      IF(OR($BL71=マスタ!$C$5,$BL71=マスタ!$C$8), "（正常）規定値", "（エラー）値入力不可")))</f>
        <v/>
      </c>
      <c r="BF71" s="98" t="str">
        <f ca="1">IF($C71 = "", "",
       IF(AND(OR($BL71=マスタ!$C$5, $BL71=マスタ!$C$8), $T71 = ""), "未入力",
            IF(AND($Y71 = $BM$9, $T71 = $BO$9), "（エラー）「適合」のみ入力可", "（正常）規定値")))</f>
        <v/>
      </c>
      <c r="BG71" s="98" t="str">
        <f t="shared" ca="1" si="29"/>
        <v/>
      </c>
      <c r="BH71" s="98" t="str">
        <f t="shared" ca="1" si="30"/>
        <v/>
      </c>
      <c r="BI71" s="98" t="str">
        <f>IF($BL71="","",
   IF($Y71=入力不可用2,
      IF(OR($BL71=マスタ!$C$5,$BL71=マスタ!$C$8), "未入力", "（正常）規定値"),
      IF(OR($BL71=マスタ!$C$5,$BL71=マスタ!$C$8), "（正常）規定値", "（エラー）値入力不可")))</f>
        <v/>
      </c>
      <c r="BJ71" s="98" t="str">
        <f>IF($AA71="", "",
        IF($AA71=マスタ!$F$3,
             IF($AB71="", "未入力", "（正常）規定値"),
                  IF($AA71=マスタ!$F$4,
                       IF($AB71&lt;&gt;入力不可用2, "（エラー）値入力不可", "（正常）規定値"))))</f>
        <v/>
      </c>
      <c r="BL71" s="75" t="str">
        <f>IF(OR($F71 = マスタ!$C$5, F71 = マスタ!$C$8), $F71,
        IF(AND($F71 = マスタ!$C$3, 'その１事業者基本情報_入力シート（一部非公開）'!$U$16), $F71,
             IF(AND($F71 = マスタ!$C$4, 'その１事業者基本情報_入力シート（一部非公開）'!$S$16), $F71,
                  IF(AND(OR($F71 = マスタ!$C$6, $F71 = マスタ!$C$7),
                                'その１事業者基本情報_入力シート（一部非公開）'!$W$16), $F71,
                       IF(OR($F71 = マスタ!$C$3, $F71=マスタ!$C$4), マスタ!$C$5,
                            IF(OR($F71 = マスタ!$C$6, $F71 = マスタ!$C$7), マスタ!$C$8, ""))))))</f>
        <v/>
      </c>
      <c r="BM71" s="75" t="str">
        <f>IF($L71&lt;&gt;"", $L71,
       IF($M71 = マスタ!$B$3,
          IF(OR($F71=マスタ!$C$3,$F71=マスタ!$C$4,$F71=マスタ!$C$5),
            IF(OR($G71 = マスタ!$D$54, $G71 = マスタ!$D$55), 0.75, 0.87),
            IF(OR($G71 = マスタ!$D$54, $G71 = マスタ!$D$55), 0.62, 0.72)),
                 IF(ISBLANK($L71), "", $L71)))</f>
        <v/>
      </c>
      <c r="BN71" s="99" t="str">
        <f>IF($L71&lt;&gt;"", $L71,
        IF($O71 = マスタ!$B$3,
          IF(OR($F71=マスタ!$C$3,$F71=マスタ!$C$4,$F71=マスタ!$C$5), 0.6, 0.5),
             IF(ISBLANK($L71), "", $L71)))</f>
        <v/>
      </c>
      <c r="BO71" s="99" t="str">
        <f>IF($T71&lt;&gt;マスタ!$B$3,
        IF(ISBLANK($S71),"",$S71),
             IF($BL71=マスタ!$C$3,0.8,
             IF($BL71=マスタ!$C$4,0.85,
             IF($BL71=マスタ!$C$6,0.9,
             IF($BL71=マスタ!$C$7,0.9,
             IF($BL71=マスタ!$C$5,1,
             IF($BL71=マスタ!$C$8,1,"無効な入力")))))))</f>
        <v/>
      </c>
      <c r="BP71" s="99" t="str">
        <f>IF($Y71&lt;&gt;マスタ!$B$3,
   IF(ISBLANK($X71), "", $X71),
   IF($BL71=マスタ!$C$3, 0.75,
      IF($BL71=マスタ!$C$4, 0.8,
         IF($BL71=マスタ!$C$6, 0.8,
            IF($BL71=マスタ!$C$7, 0.8,
               IF($BL71=マスタ!$C$5, 0.8,
                  IF($BL71=マスタ!$C$8, 0.8, "無効な入力")))))))</f>
        <v/>
      </c>
      <c r="BQ71" s="75"/>
      <c r="BR71" s="75"/>
      <c r="BS71" s="75"/>
      <c r="BT71" s="75"/>
      <c r="BU71" s="75"/>
      <c r="BV71" s="75"/>
      <c r="BW71" s="75"/>
      <c r="BX71" s="75"/>
      <c r="BY71" s="75"/>
    </row>
    <row r="72" spans="3:77" ht="30.75" customHeight="1">
      <c r="C72" s="69" t="str" cm="1">
        <f t="array" aca="1" ref="C72" ca="1">IF(SUMPRODUCT(--($D72:$AU72 &lt;&gt; "")),RIGHT(YEAR(TODAY()),2)&amp;"01"&amp;REPT("0",4-LEN(ROW()-11))&amp;ROW()-11,"")</f>
        <v/>
      </c>
      <c r="D72" s="141"/>
      <c r="E72" s="142"/>
      <c r="F72" s="71"/>
      <c r="G72" s="66"/>
      <c r="H72" s="41" t="str">
        <f>IFERROR(VLOOKUP(G72,マスタ!$D$3:$E$55,2,FALSE),"")</f>
        <v/>
      </c>
      <c r="I72" s="93"/>
      <c r="J72" s="77"/>
      <c r="K72" s="66"/>
      <c r="L72" s="103"/>
      <c r="M72" s="71"/>
      <c r="N72" s="101" t="str">
        <f>IF($M72 = $BM$9, $BM$9,
        IF($L72 = "", "",
              IF(OR(
                          AND(OR($G72 = マスタ!$D$54, $G72 = マスタ!$D$55), $L72 &lt;= $BP$9),
                          AND($G72 &lt;&gt; マスタ!$D$54, $G72 &lt;&gt; マスタ!$D$55, $L72 &lt;= $BQ$9)
                         ), $BM$9, $BN$9)))</f>
        <v/>
      </c>
      <c r="O72" s="71"/>
      <c r="P72" s="101" t="str">
        <f t="shared" si="21"/>
        <v/>
      </c>
      <c r="Q72" s="124"/>
      <c r="R72" s="124"/>
      <c r="S72" s="112" t="str">
        <f t="shared" si="19"/>
        <v/>
      </c>
      <c r="T72" s="71"/>
      <c r="U72" s="41" t="str">
        <f>IF($T72=$BM$9, $BM$9,
        IF($S72="", "",
             IF(OR(AND($BL72=マスタ!$C$3, $S72&lt;=$BS$9),
                        AND($BL72=マスタ!$C$4, $S72&lt;=$BT$9),
                        AND(OR($BL72=マスタ!$C$6, $BL72=マスタ!$C$7), $S72&lt;=$BU$9),
                        AND(OR($BL72=マスタ!$C$5, $BL72=マスタ!$C$8), $S72&lt;=$BV$9)),
                  $BM$9, $BN$9)))</f>
        <v/>
      </c>
      <c r="V72" s="129" t="str">
        <f t="shared" si="16"/>
        <v/>
      </c>
      <c r="W72" s="124"/>
      <c r="X72" s="112" t="str">
        <f t="shared" si="20"/>
        <v/>
      </c>
      <c r="Y72" s="71"/>
      <c r="Z72" s="41" t="str">
        <f>IF($Y72=$BM$9, $BM$9,
        IF(AND($T72 = $BM$9, $Y72 = $BO$9), $BN$9,
             IF($BL72=マスタ!$C$3,
                  IF($X72&lt;=$BW$9, $BM$9,$BN$9),
                       IF(OR($BL72=マスタ!$C$4, $BL72=マスタ!$C$5, $BL72=マスタ!$C$6, $BL72=マスタ!$C$7, $BL72=マスタ!$C$8),
                            IF($X72&lt;=$BX$9, $BM$9,$BN$9), ""))))</f>
        <v/>
      </c>
      <c r="AA72" s="71"/>
      <c r="AB72" s="71"/>
      <c r="AC72" s="71"/>
      <c r="AD72" s="165"/>
      <c r="AE72" s="71"/>
      <c r="AF72" s="165"/>
      <c r="AG72" s="92"/>
      <c r="AH72" s="92"/>
      <c r="AI72" s="92"/>
      <c r="AJ72" s="92"/>
      <c r="AK72" s="121"/>
      <c r="AL72" s="121"/>
      <c r="AM72" s="121"/>
      <c r="AN72" s="121"/>
      <c r="AO72" s="92"/>
      <c r="AP72" s="130" t="str">
        <f t="shared" si="5"/>
        <v/>
      </c>
      <c r="AQ72" s="121"/>
      <c r="AR72" s="101" t="str">
        <f>IF(OR(SUMPRODUCT(--(AJ72:AQ72&lt;&gt;""))&lt;7,AND($AJ72=マスタ!$N$3,$AK72="")), "",
        IF($AJ72=マスタ!$N$5, $BO$9,
              IF(OR($F72=マスタ!$C$3, $F72=マスタ!$C$4, $F72=マスタ!$C$5),
                    IF(SUM($AL72,$AM72,$AP72,$AQ72)&gt;=1, $BM$9, $BN$9),
              IF(OR($F72=マスタ!$C$6, $F72=マスタ!$C$7, $F72=マスタ!$C$8),
                    IF($AK72&lt;10, $BO$9,
                          IF(AND(SUM($AL72,$AM72,$AP72,$AQ72)&gt;=($AK72*0.2), $AM72+$AP72+$AQ72&gt;=1),
                               $BM$9,$BN$9))))))</f>
        <v/>
      </c>
      <c r="AS72" s="101" t="str">
        <f>IF(OR(SUMPRODUCT(--(AJ72:AQ72&lt;&gt;""))&lt;7,AND($AJ72=マスタ!$N$3,$AK72="")), "",
     IF($AR72=$BN$9,$BN$9,
        IF($AJ72=マスタ!$N$5, $BO$9,
             IF(OR($F72=マスタ!$C$3, $F72=マスタ!$C$4, $F72=マスタ!$C$5),
                   IF($AQ72&gt;=1, $BM$9, $BN$9),
             IF(OR($F72=マスタ!$C$6, $F72=マスタ!$C$7, $F72=マスタ!$C$8),
                   IF($AK72&lt;5, IF($AQ72&gt;=1, $BM$9, $BN$9),
                         IF(OR($AQ72&gt;=1,
                                    AND(SUM($AL72,$AM72,$AP72,$AQ72)&gt;=$AK72*0.5, ($AM72+$AP72+$AQ72)&gt;=($AK72*0.2))),
                              $BM$9,$BN$9)))))))</f>
        <v/>
      </c>
      <c r="AT72" s="66"/>
      <c r="AU72" s="143"/>
      <c r="AV72" s="98" t="str" cm="1">
        <f t="array" aca="1" ref="AV72" ca="1">IF(AND($F72:$G72&lt;&gt;"", $I72:$K72&lt;&gt;"",
                 IF(OR($M72=$BM$9,$O72=$BM$9), TRUE, $L72&lt;&gt;""),
                 $M72&lt;&gt;"",$O72&lt;&gt;"",
                 IF($T72=$BM$9, TRUE, $Q72:$R72&lt;&gt;""),
                 IF(AND($BL72&lt;&gt;"", $BL72&lt;&gt;マスタ!$C$5, $BL72&lt;&gt;マスタ!$C$8), TRUE, $T72&lt;&gt;""),
                 IF(OR(AND($T72=$BM$9,  $Y72=$BO$9), $Y72=$BM$9), TRUE,$W72&lt;&gt;""),
                 IF(AND($BL72&lt;&gt;"", $BL72&lt;&gt;マスタ!$C$5, $BL72&lt;&gt;マスタ!$C$8), TRUE, $Y72&lt;&gt;""),
                 $AA72&lt;&gt;"",
                 IF($AA72=マスタ!$F$4, TRUE, $AB72&lt;&gt;""),
                 $AG72:$AO72&lt;&gt;"", $AQ72&lt;&gt;"", $AT72&lt;&gt;""),
        "（正常）入力済み", IF($C72= "", "（複数入力）未入力", "（エラー）一部未入力"))</f>
        <v>（複数入力）未入力</v>
      </c>
      <c r="AW72" s="98" t="str">
        <f t="shared" ca="1" si="6"/>
        <v/>
      </c>
      <c r="AX72" s="98" t="str">
        <f t="shared" ca="1" si="22"/>
        <v/>
      </c>
      <c r="AY72" s="98" t="str">
        <f t="shared" ca="1" si="23"/>
        <v/>
      </c>
      <c r="AZ72" s="98" t="str">
        <f t="shared" ca="1" si="24"/>
        <v/>
      </c>
      <c r="BA72" s="98" t="str">
        <f t="shared" ca="1" si="25"/>
        <v/>
      </c>
      <c r="BB72" s="98" t="str">
        <f t="shared" ca="1" si="26"/>
        <v/>
      </c>
      <c r="BC72" s="98" t="str">
        <f t="shared" ca="1" si="27"/>
        <v/>
      </c>
      <c r="BD72" s="98" t="str">
        <f t="shared" ca="1" si="28"/>
        <v/>
      </c>
      <c r="BE72" s="98" t="str">
        <f>IF($BL72="","",
   IF($T72=入力不可用2,
      IF(OR($BL72=マスタ!$C$5,$BL72=マスタ!$C$8), "未入力", "（正常）規定値"),
      IF(OR($BL72=マスタ!$C$5,$BL72=マスタ!$C$8), "（正常）規定値", "（エラー）値入力不可")))</f>
        <v/>
      </c>
      <c r="BF72" s="98" t="str">
        <f ca="1">IF($C72 = "", "",
       IF(AND(OR($BL72=マスタ!$C$5, $BL72=マスタ!$C$8), $T72 = ""), "未入力",
            IF(AND($Y72 = $BM$9, $T72 = $BO$9), "（エラー）「適合」のみ入力可", "（正常）規定値")))</f>
        <v/>
      </c>
      <c r="BG72" s="98" t="str">
        <f t="shared" ca="1" si="29"/>
        <v/>
      </c>
      <c r="BH72" s="98" t="str">
        <f t="shared" ca="1" si="30"/>
        <v/>
      </c>
      <c r="BI72" s="98" t="str">
        <f>IF($BL72="","",
   IF($Y72=入力不可用2,
      IF(OR($BL72=マスタ!$C$5,$BL72=マスタ!$C$8), "未入力", "（正常）規定値"),
      IF(OR($BL72=マスタ!$C$5,$BL72=マスタ!$C$8), "（正常）規定値", "（エラー）値入力不可")))</f>
        <v/>
      </c>
      <c r="BJ72" s="98" t="str">
        <f>IF($AA72="", "",
        IF($AA72=マスタ!$F$3,
             IF($AB72="", "未入力", "（正常）規定値"),
                  IF($AA72=マスタ!$F$4,
                       IF($AB72&lt;&gt;入力不可用2, "（エラー）値入力不可", "（正常）規定値"))))</f>
        <v/>
      </c>
      <c r="BL72" s="75" t="str">
        <f>IF(OR($F72 = マスタ!$C$5, F72 = マスタ!$C$8), $F72,
        IF(AND($F72 = マスタ!$C$3, 'その１事業者基本情報_入力シート（一部非公開）'!$U$16), $F72,
             IF(AND($F72 = マスタ!$C$4, 'その１事業者基本情報_入力シート（一部非公開）'!$S$16), $F72,
                  IF(AND(OR($F72 = マスタ!$C$6, $F72 = マスタ!$C$7),
                                'その１事業者基本情報_入力シート（一部非公開）'!$W$16), $F72,
                       IF(OR($F72 = マスタ!$C$3, $F72=マスタ!$C$4), マスタ!$C$5,
                            IF(OR($F72 = マスタ!$C$6, $F72 = マスタ!$C$7), マスタ!$C$8, ""))))))</f>
        <v/>
      </c>
      <c r="BM72" s="75" t="str">
        <f>IF($L72&lt;&gt;"", $L72,
       IF($M72 = マスタ!$B$3,
          IF(OR($F72=マスタ!$C$3,$F72=マスタ!$C$4,$F72=マスタ!$C$5),
            IF(OR($G72 = マスタ!$D$54, $G72 = マスタ!$D$55), 0.75, 0.87),
            IF(OR($G72 = マスタ!$D$54, $G72 = マスタ!$D$55), 0.62, 0.72)),
                 IF(ISBLANK($L72), "", $L72)))</f>
        <v/>
      </c>
      <c r="BN72" s="99" t="str">
        <f>IF($L72&lt;&gt;"", $L72,
        IF($O72 = マスタ!$B$3,
          IF(OR($F72=マスタ!$C$3,$F72=マスタ!$C$4,$F72=マスタ!$C$5), 0.6, 0.5),
             IF(ISBLANK($L72), "", $L72)))</f>
        <v/>
      </c>
      <c r="BO72" s="99" t="str">
        <f>IF($T72&lt;&gt;マスタ!$B$3,
        IF(ISBLANK($S72),"",$S72),
             IF($BL72=マスタ!$C$3,0.8,
             IF($BL72=マスタ!$C$4,0.85,
             IF($BL72=マスタ!$C$6,0.9,
             IF($BL72=マスタ!$C$7,0.9,
             IF($BL72=マスタ!$C$5,1,
             IF($BL72=マスタ!$C$8,1,"無効な入力")))))))</f>
        <v/>
      </c>
      <c r="BP72" s="99" t="str">
        <f>IF($Y72&lt;&gt;マスタ!$B$3,
   IF(ISBLANK($X72), "", $X72),
   IF($BL72=マスタ!$C$3, 0.75,
      IF($BL72=マスタ!$C$4, 0.8,
         IF($BL72=マスタ!$C$6, 0.8,
            IF($BL72=マスタ!$C$7, 0.8,
               IF($BL72=マスタ!$C$5, 0.8,
                  IF($BL72=マスタ!$C$8, 0.8, "無効な入力")))))))</f>
        <v/>
      </c>
      <c r="BQ72" s="75"/>
      <c r="BR72" s="75"/>
      <c r="BS72" s="75"/>
      <c r="BT72" s="75"/>
      <c r="BU72" s="75"/>
      <c r="BV72" s="75"/>
      <c r="BW72" s="75"/>
      <c r="BX72" s="75"/>
      <c r="BY72" s="75"/>
    </row>
    <row r="73" spans="3:77" ht="30.75" customHeight="1">
      <c r="C73" s="69" t="str" cm="1">
        <f t="array" aca="1" ref="C73" ca="1">IF(SUMPRODUCT(--($D73:$AU73 &lt;&gt; "")),RIGHT(YEAR(TODAY()),2)&amp;"01"&amp;REPT("0",4-LEN(ROW()-11))&amp;ROW()-11,"")</f>
        <v/>
      </c>
      <c r="D73" s="141"/>
      <c r="E73" s="142"/>
      <c r="F73" s="71"/>
      <c r="G73" s="66"/>
      <c r="H73" s="41" t="str">
        <f>IFERROR(VLOOKUP(G73,マスタ!$D$3:$E$55,2,FALSE),"")</f>
        <v/>
      </c>
      <c r="I73" s="93"/>
      <c r="J73" s="77"/>
      <c r="K73" s="66"/>
      <c r="L73" s="103"/>
      <c r="M73" s="71"/>
      <c r="N73" s="101" t="str">
        <f>IF($M73 = $BM$9, $BM$9,
        IF($L73 = "", "",
              IF(OR(
                          AND(OR($G73 = マスタ!$D$54, $G73 = マスタ!$D$55), $L73 &lt;= $BP$9),
                          AND($G73 &lt;&gt; マスタ!$D$54, $G73 &lt;&gt; マスタ!$D$55, $L73 &lt;= $BQ$9)
                         ), $BM$9, $BN$9)))</f>
        <v/>
      </c>
      <c r="O73" s="71"/>
      <c r="P73" s="101" t="str">
        <f t="shared" si="21"/>
        <v/>
      </c>
      <c r="Q73" s="124"/>
      <c r="R73" s="124"/>
      <c r="S73" s="112" t="str">
        <f t="shared" si="19"/>
        <v/>
      </c>
      <c r="T73" s="71"/>
      <c r="U73" s="41" t="str">
        <f>IF($T73=$BM$9, $BM$9,
        IF($S73="", "",
             IF(OR(AND($BL73=マスタ!$C$3, $S73&lt;=$BS$9),
                        AND($BL73=マスタ!$C$4, $S73&lt;=$BT$9),
                        AND(OR($BL73=マスタ!$C$6, $BL73=マスタ!$C$7), $S73&lt;=$BU$9),
                        AND(OR($BL73=マスタ!$C$5, $BL73=マスタ!$C$8), $S73&lt;=$BV$9)),
                  $BM$9, $BN$9)))</f>
        <v/>
      </c>
      <c r="V73" s="129" t="str">
        <f t="shared" si="16"/>
        <v/>
      </c>
      <c r="W73" s="124"/>
      <c r="X73" s="112" t="str">
        <f t="shared" si="20"/>
        <v/>
      </c>
      <c r="Y73" s="71"/>
      <c r="Z73" s="41" t="str">
        <f>IF($Y73=$BM$9, $BM$9,
        IF(AND($T73 = $BM$9, $Y73 = $BO$9), $BN$9,
             IF($BL73=マスタ!$C$3,
                  IF($X73&lt;=$BW$9, $BM$9,$BN$9),
                       IF(OR($BL73=マスタ!$C$4, $BL73=マスタ!$C$5, $BL73=マスタ!$C$6, $BL73=マスタ!$C$7, $BL73=マスタ!$C$8),
                            IF($X73&lt;=$BX$9, $BM$9,$BN$9), ""))))</f>
        <v/>
      </c>
      <c r="AA73" s="71"/>
      <c r="AB73" s="71"/>
      <c r="AC73" s="71"/>
      <c r="AD73" s="165"/>
      <c r="AE73" s="71"/>
      <c r="AF73" s="165"/>
      <c r="AG73" s="92"/>
      <c r="AH73" s="92"/>
      <c r="AI73" s="92"/>
      <c r="AJ73" s="92"/>
      <c r="AK73" s="121"/>
      <c r="AL73" s="121"/>
      <c r="AM73" s="121"/>
      <c r="AN73" s="121"/>
      <c r="AO73" s="92"/>
      <c r="AP73" s="130" t="str">
        <f t="shared" si="5"/>
        <v/>
      </c>
      <c r="AQ73" s="121"/>
      <c r="AR73" s="101" t="str">
        <f>IF(OR(SUMPRODUCT(--(AJ73:AQ73&lt;&gt;""))&lt;7,AND($AJ73=マスタ!$N$3,$AK73="")), "",
        IF($AJ73=マスタ!$N$5, $BO$9,
              IF(OR($F73=マスタ!$C$3, $F73=マスタ!$C$4, $F73=マスタ!$C$5),
                    IF(SUM($AL73,$AM73,$AP73,$AQ73)&gt;=1, $BM$9, $BN$9),
              IF(OR($F73=マスタ!$C$6, $F73=マスタ!$C$7, $F73=マスタ!$C$8),
                    IF($AK73&lt;10, $BO$9,
                          IF(AND(SUM($AL73,$AM73,$AP73,$AQ73)&gt;=($AK73*0.2), $AM73+$AP73+$AQ73&gt;=1),
                               $BM$9,$BN$9))))))</f>
        <v/>
      </c>
      <c r="AS73" s="101" t="str">
        <f>IF(OR(SUMPRODUCT(--(AJ73:AQ73&lt;&gt;""))&lt;7,AND($AJ73=マスタ!$N$3,$AK73="")), "",
     IF($AR73=$BN$9,$BN$9,
        IF($AJ73=マスタ!$N$5, $BO$9,
             IF(OR($F73=マスタ!$C$3, $F73=マスタ!$C$4, $F73=マスタ!$C$5),
                   IF($AQ73&gt;=1, $BM$9, $BN$9),
             IF(OR($F73=マスタ!$C$6, $F73=マスタ!$C$7, $F73=マスタ!$C$8),
                   IF($AK73&lt;5, IF($AQ73&gt;=1, $BM$9, $BN$9),
                         IF(OR($AQ73&gt;=1,
                                    AND(SUM($AL73,$AM73,$AP73,$AQ73)&gt;=$AK73*0.5, ($AM73+$AP73+$AQ73)&gt;=($AK73*0.2))),
                              $BM$9,$BN$9)))))))</f>
        <v/>
      </c>
      <c r="AT73" s="66"/>
      <c r="AU73" s="143"/>
      <c r="AV73" s="98" t="str" cm="1">
        <f t="array" aca="1" ref="AV73" ca="1">IF(AND($F73:$G73&lt;&gt;"", $I73:$K73&lt;&gt;"",
                 IF(OR($M73=$BM$9,$O73=$BM$9), TRUE, $L73&lt;&gt;""),
                 $M73&lt;&gt;"",$O73&lt;&gt;"",
                 IF($T73=$BM$9, TRUE, $Q73:$R73&lt;&gt;""),
                 IF(AND($BL73&lt;&gt;"", $BL73&lt;&gt;マスタ!$C$5, $BL73&lt;&gt;マスタ!$C$8), TRUE, $T73&lt;&gt;""),
                 IF(OR(AND($T73=$BM$9,  $Y73=$BO$9), $Y73=$BM$9), TRUE,$W73&lt;&gt;""),
                 IF(AND($BL73&lt;&gt;"", $BL73&lt;&gt;マスタ!$C$5, $BL73&lt;&gt;マスタ!$C$8), TRUE, $Y73&lt;&gt;""),
                 $AA73&lt;&gt;"",
                 IF($AA73=マスタ!$F$4, TRUE, $AB73&lt;&gt;""),
                 $AG73:$AO73&lt;&gt;"", $AQ73&lt;&gt;"", $AT73&lt;&gt;""),
        "（正常）入力済み", IF($C73= "", "（複数入力）未入力", "（エラー）一部未入力"))</f>
        <v>（複数入力）未入力</v>
      </c>
      <c r="AW73" s="98" t="str">
        <f t="shared" ca="1" si="6"/>
        <v/>
      </c>
      <c r="AX73" s="98" t="str">
        <f t="shared" ca="1" si="22"/>
        <v/>
      </c>
      <c r="AY73" s="98" t="str">
        <f t="shared" ca="1" si="23"/>
        <v/>
      </c>
      <c r="AZ73" s="98" t="str">
        <f t="shared" ca="1" si="24"/>
        <v/>
      </c>
      <c r="BA73" s="98" t="str">
        <f t="shared" ca="1" si="25"/>
        <v/>
      </c>
      <c r="BB73" s="98" t="str">
        <f t="shared" ca="1" si="26"/>
        <v/>
      </c>
      <c r="BC73" s="98" t="str">
        <f t="shared" ca="1" si="27"/>
        <v/>
      </c>
      <c r="BD73" s="98" t="str">
        <f t="shared" ca="1" si="28"/>
        <v/>
      </c>
      <c r="BE73" s="98" t="str">
        <f>IF($BL73="","",
   IF($T73=入力不可用2,
      IF(OR($BL73=マスタ!$C$5,$BL73=マスタ!$C$8), "未入力", "（正常）規定値"),
      IF(OR($BL73=マスタ!$C$5,$BL73=マスタ!$C$8), "（正常）規定値", "（エラー）値入力不可")))</f>
        <v/>
      </c>
      <c r="BF73" s="98" t="str">
        <f ca="1">IF($C73 = "", "",
       IF(AND(OR($BL73=マスタ!$C$5, $BL73=マスタ!$C$8), $T73 = ""), "未入力",
            IF(AND($Y73 = $BM$9, $T73 = $BO$9), "（エラー）「適合」のみ入力可", "（正常）規定値")))</f>
        <v/>
      </c>
      <c r="BG73" s="98" t="str">
        <f t="shared" ca="1" si="29"/>
        <v/>
      </c>
      <c r="BH73" s="98" t="str">
        <f t="shared" ca="1" si="30"/>
        <v/>
      </c>
      <c r="BI73" s="98" t="str">
        <f>IF($BL73="","",
   IF($Y73=入力不可用2,
      IF(OR($BL73=マスタ!$C$5,$BL73=マスタ!$C$8), "未入力", "（正常）規定値"),
      IF(OR($BL73=マスタ!$C$5,$BL73=マスタ!$C$8), "（正常）規定値", "（エラー）値入力不可")))</f>
        <v/>
      </c>
      <c r="BJ73" s="98" t="str">
        <f>IF($AA73="", "",
        IF($AA73=マスタ!$F$3,
             IF($AB73="", "未入力", "（正常）規定値"),
                  IF($AA73=マスタ!$F$4,
                       IF($AB73&lt;&gt;入力不可用2, "（エラー）値入力不可", "（正常）規定値"))))</f>
        <v/>
      </c>
      <c r="BL73" s="75" t="str">
        <f>IF(OR($F73 = マスタ!$C$5, F73 = マスタ!$C$8), $F73,
        IF(AND($F73 = マスタ!$C$3, 'その１事業者基本情報_入力シート（一部非公開）'!$U$16), $F73,
             IF(AND($F73 = マスタ!$C$4, 'その１事業者基本情報_入力シート（一部非公開）'!$S$16), $F73,
                  IF(AND(OR($F73 = マスタ!$C$6, $F73 = マスタ!$C$7),
                                'その１事業者基本情報_入力シート（一部非公開）'!$W$16), $F73,
                       IF(OR($F73 = マスタ!$C$3, $F73=マスタ!$C$4), マスタ!$C$5,
                            IF(OR($F73 = マスタ!$C$6, $F73 = マスタ!$C$7), マスタ!$C$8, ""))))))</f>
        <v/>
      </c>
      <c r="BM73" s="75" t="str">
        <f>IF($L73&lt;&gt;"", $L73,
       IF($M73 = マスタ!$B$3,
          IF(OR($F73=マスタ!$C$3,$F73=マスタ!$C$4,$F73=マスタ!$C$5),
            IF(OR($G73 = マスタ!$D$54, $G73 = マスタ!$D$55), 0.75, 0.87),
            IF(OR($G73 = マスタ!$D$54, $G73 = マスタ!$D$55), 0.62, 0.72)),
                 IF(ISBLANK($L73), "", $L73)))</f>
        <v/>
      </c>
      <c r="BN73" s="99" t="str">
        <f>IF($L73&lt;&gt;"", $L73,
        IF($O73 = マスタ!$B$3,
          IF(OR($F73=マスタ!$C$3,$F73=マスタ!$C$4,$F73=マスタ!$C$5), 0.6, 0.5),
             IF(ISBLANK($L73), "", $L73)))</f>
        <v/>
      </c>
      <c r="BO73" s="99" t="str">
        <f>IF($T73&lt;&gt;マスタ!$B$3,
        IF(ISBLANK($S73),"",$S73),
             IF($BL73=マスタ!$C$3,0.8,
             IF($BL73=マスタ!$C$4,0.85,
             IF($BL73=マスタ!$C$6,0.9,
             IF($BL73=マスタ!$C$7,0.9,
             IF($BL73=マスタ!$C$5,1,
             IF($BL73=マスタ!$C$8,1,"無効な入力")))))))</f>
        <v/>
      </c>
      <c r="BP73" s="99" t="str">
        <f>IF($Y73&lt;&gt;マスタ!$B$3,
   IF(ISBLANK($X73), "", $X73),
   IF($BL73=マスタ!$C$3, 0.75,
      IF($BL73=マスタ!$C$4, 0.8,
         IF($BL73=マスタ!$C$6, 0.8,
            IF($BL73=マスタ!$C$7, 0.8,
               IF($BL73=マスタ!$C$5, 0.8,
                  IF($BL73=マスタ!$C$8, 0.8, "無効な入力")))))))</f>
        <v/>
      </c>
      <c r="BQ73" s="75"/>
      <c r="BR73" s="75"/>
      <c r="BS73" s="75"/>
      <c r="BT73" s="75"/>
      <c r="BU73" s="75"/>
      <c r="BV73" s="75"/>
      <c r="BW73" s="75"/>
      <c r="BX73" s="75"/>
      <c r="BY73" s="75"/>
    </row>
    <row r="74" spans="3:77" ht="30.75" customHeight="1">
      <c r="C74" s="69" t="str" cm="1">
        <f t="array" aca="1" ref="C74" ca="1">IF(SUMPRODUCT(--($D74:$AU74 &lt;&gt; "")),RIGHT(YEAR(TODAY()),2)&amp;"01"&amp;REPT("0",4-LEN(ROW()-11))&amp;ROW()-11,"")</f>
        <v/>
      </c>
      <c r="D74" s="141"/>
      <c r="E74" s="142"/>
      <c r="F74" s="71"/>
      <c r="G74" s="66"/>
      <c r="H74" s="41" t="str">
        <f>IFERROR(VLOOKUP(G74,マスタ!$D$3:$E$55,2,FALSE),"")</f>
        <v/>
      </c>
      <c r="I74" s="93"/>
      <c r="J74" s="77"/>
      <c r="K74" s="66"/>
      <c r="L74" s="103"/>
      <c r="M74" s="71"/>
      <c r="N74" s="101" t="str">
        <f>IF($M74 = $BM$9, $BM$9,
        IF($L74 = "", "",
              IF(OR(
                          AND(OR($G74 = マスタ!$D$54, $G74 = マスタ!$D$55), $L74 &lt;= $BP$9),
                          AND($G74 &lt;&gt; マスタ!$D$54, $G74 &lt;&gt; マスタ!$D$55, $L74 &lt;= $BQ$9)
                         ), $BM$9, $BN$9)))</f>
        <v/>
      </c>
      <c r="O74" s="71"/>
      <c r="P74" s="101" t="str">
        <f t="shared" si="21"/>
        <v/>
      </c>
      <c r="Q74" s="124"/>
      <c r="R74" s="124"/>
      <c r="S74" s="112" t="str">
        <f t="shared" si="19"/>
        <v/>
      </c>
      <c r="T74" s="71"/>
      <c r="U74" s="41" t="str">
        <f>IF($T74=$BM$9, $BM$9,
        IF($S74="", "",
             IF(OR(AND($BL74=マスタ!$C$3, $S74&lt;=$BS$9),
                        AND($BL74=マスタ!$C$4, $S74&lt;=$BT$9),
                        AND(OR($BL74=マスタ!$C$6, $BL74=マスタ!$C$7), $S74&lt;=$BU$9),
                        AND(OR($BL74=マスタ!$C$5, $BL74=マスタ!$C$8), $S74&lt;=$BV$9)),
                  $BM$9, $BN$9)))</f>
        <v/>
      </c>
      <c r="V74" s="129" t="str">
        <f t="shared" si="16"/>
        <v/>
      </c>
      <c r="W74" s="124"/>
      <c r="X74" s="112" t="str">
        <f t="shared" si="20"/>
        <v/>
      </c>
      <c r="Y74" s="71"/>
      <c r="Z74" s="41" t="str">
        <f>IF($Y74=$BM$9, $BM$9,
        IF(AND($T74 = $BM$9, $Y74 = $BO$9), $BN$9,
             IF($BL74=マスタ!$C$3,
                  IF($X74&lt;=$BW$9, $BM$9,$BN$9),
                       IF(OR($BL74=マスタ!$C$4, $BL74=マスタ!$C$5, $BL74=マスタ!$C$6, $BL74=マスタ!$C$7, $BL74=マスタ!$C$8),
                            IF($X74&lt;=$BX$9, $BM$9,$BN$9), ""))))</f>
        <v/>
      </c>
      <c r="AA74" s="71"/>
      <c r="AB74" s="71"/>
      <c r="AC74" s="71"/>
      <c r="AD74" s="165"/>
      <c r="AE74" s="71"/>
      <c r="AF74" s="165"/>
      <c r="AG74" s="92"/>
      <c r="AH74" s="92"/>
      <c r="AI74" s="92"/>
      <c r="AJ74" s="92"/>
      <c r="AK74" s="121"/>
      <c r="AL74" s="121"/>
      <c r="AM74" s="121"/>
      <c r="AN74" s="121"/>
      <c r="AO74" s="92"/>
      <c r="AP74" s="130" t="str">
        <f t="shared" si="5"/>
        <v/>
      </c>
      <c r="AQ74" s="121"/>
      <c r="AR74" s="101" t="str">
        <f>IF(OR(SUMPRODUCT(--(AJ74:AQ74&lt;&gt;""))&lt;7,AND($AJ74=マスタ!$N$3,$AK74="")), "",
        IF($AJ74=マスタ!$N$5, $BO$9,
              IF(OR($F74=マスタ!$C$3, $F74=マスタ!$C$4, $F74=マスタ!$C$5),
                    IF(SUM($AL74,$AM74,$AP74,$AQ74)&gt;=1, $BM$9, $BN$9),
              IF(OR($F74=マスタ!$C$6, $F74=マスタ!$C$7, $F74=マスタ!$C$8),
                    IF($AK74&lt;10, $BO$9,
                          IF(AND(SUM($AL74,$AM74,$AP74,$AQ74)&gt;=($AK74*0.2), $AM74+$AP74+$AQ74&gt;=1),
                               $BM$9,$BN$9))))))</f>
        <v/>
      </c>
      <c r="AS74" s="101" t="str">
        <f>IF(OR(SUMPRODUCT(--(AJ74:AQ74&lt;&gt;""))&lt;7,AND($AJ74=マスタ!$N$3,$AK74="")), "",
     IF($AR74=$BN$9,$BN$9,
        IF($AJ74=マスタ!$N$5, $BO$9,
             IF(OR($F74=マスタ!$C$3, $F74=マスタ!$C$4, $F74=マスタ!$C$5),
                   IF($AQ74&gt;=1, $BM$9, $BN$9),
             IF(OR($F74=マスタ!$C$6, $F74=マスタ!$C$7, $F74=マスタ!$C$8),
                   IF($AK74&lt;5, IF($AQ74&gt;=1, $BM$9, $BN$9),
                         IF(OR($AQ74&gt;=1,
                                    AND(SUM($AL74,$AM74,$AP74,$AQ74)&gt;=$AK74*0.5, ($AM74+$AP74+$AQ74)&gt;=($AK74*0.2))),
                              $BM$9,$BN$9)))))))</f>
        <v/>
      </c>
      <c r="AT74" s="66"/>
      <c r="AU74" s="143"/>
      <c r="AV74" s="98" t="str" cm="1">
        <f t="array" aca="1" ref="AV74" ca="1">IF(AND($F74:$G74&lt;&gt;"", $I74:$K74&lt;&gt;"",
                 IF(OR($M74=$BM$9,$O74=$BM$9), TRUE, $L74&lt;&gt;""),
                 $M74&lt;&gt;"",$O74&lt;&gt;"",
                 IF($T74=$BM$9, TRUE, $Q74:$R74&lt;&gt;""),
                 IF(AND($BL74&lt;&gt;"", $BL74&lt;&gt;マスタ!$C$5, $BL74&lt;&gt;マスタ!$C$8), TRUE, $T74&lt;&gt;""),
                 IF(OR(AND($T74=$BM$9,  $Y74=$BO$9), $Y74=$BM$9), TRUE,$W74&lt;&gt;""),
                 IF(AND($BL74&lt;&gt;"", $BL74&lt;&gt;マスタ!$C$5, $BL74&lt;&gt;マスタ!$C$8), TRUE, $Y74&lt;&gt;""),
                 $AA74&lt;&gt;"",
                 IF($AA74=マスタ!$F$4, TRUE, $AB74&lt;&gt;""),
                 $AG74:$AO74&lt;&gt;"", $AQ74&lt;&gt;"", $AT74&lt;&gt;""),
        "（正常）入力済み", IF($C74= "", "（複数入力）未入力", "（エラー）一部未入力"))</f>
        <v>（複数入力）未入力</v>
      </c>
      <c r="AW74" s="98" t="str">
        <f t="shared" ca="1" si="6"/>
        <v/>
      </c>
      <c r="AX74" s="98" t="str">
        <f t="shared" ca="1" si="22"/>
        <v/>
      </c>
      <c r="AY74" s="98" t="str">
        <f t="shared" ca="1" si="23"/>
        <v/>
      </c>
      <c r="AZ74" s="98" t="str">
        <f t="shared" ca="1" si="24"/>
        <v/>
      </c>
      <c r="BA74" s="98" t="str">
        <f t="shared" ca="1" si="25"/>
        <v/>
      </c>
      <c r="BB74" s="98" t="str">
        <f t="shared" ca="1" si="26"/>
        <v/>
      </c>
      <c r="BC74" s="98" t="str">
        <f t="shared" ca="1" si="27"/>
        <v/>
      </c>
      <c r="BD74" s="98" t="str">
        <f t="shared" ca="1" si="28"/>
        <v/>
      </c>
      <c r="BE74" s="98" t="str">
        <f>IF($BL74="","",
   IF($T74=入力不可用2,
      IF(OR($BL74=マスタ!$C$5,$BL74=マスタ!$C$8), "未入力", "（正常）規定値"),
      IF(OR($BL74=マスタ!$C$5,$BL74=マスタ!$C$8), "（正常）規定値", "（エラー）値入力不可")))</f>
        <v/>
      </c>
      <c r="BF74" s="98" t="str">
        <f ca="1">IF($C74 = "", "",
       IF(AND(OR($BL74=マスタ!$C$5, $BL74=マスタ!$C$8), $T74 = ""), "未入力",
            IF(AND($Y74 = $BM$9, $T74 = $BO$9), "（エラー）「適合」のみ入力可", "（正常）規定値")))</f>
        <v/>
      </c>
      <c r="BG74" s="98" t="str">
        <f t="shared" ca="1" si="29"/>
        <v/>
      </c>
      <c r="BH74" s="98" t="str">
        <f t="shared" ca="1" si="30"/>
        <v/>
      </c>
      <c r="BI74" s="98" t="str">
        <f>IF($BL74="","",
   IF($Y74=入力不可用2,
      IF(OR($BL74=マスタ!$C$5,$BL74=マスタ!$C$8), "未入力", "（正常）規定値"),
      IF(OR($BL74=マスタ!$C$5,$BL74=マスタ!$C$8), "（正常）規定値", "（エラー）値入力不可")))</f>
        <v/>
      </c>
      <c r="BJ74" s="98" t="str">
        <f>IF($AA74="", "",
        IF($AA74=マスタ!$F$3,
             IF($AB74="", "未入力", "（正常）規定値"),
                  IF($AA74=マスタ!$F$4,
                       IF($AB74&lt;&gt;入力不可用2, "（エラー）値入力不可", "（正常）規定値"))))</f>
        <v/>
      </c>
      <c r="BL74" s="75" t="str">
        <f>IF(OR($F74 = マスタ!$C$5, F74 = マスタ!$C$8), $F74,
        IF(AND($F74 = マスタ!$C$3, 'その１事業者基本情報_入力シート（一部非公開）'!$U$16), $F74,
             IF(AND($F74 = マスタ!$C$4, 'その１事業者基本情報_入力シート（一部非公開）'!$S$16), $F74,
                  IF(AND(OR($F74 = マスタ!$C$6, $F74 = マスタ!$C$7),
                                'その１事業者基本情報_入力シート（一部非公開）'!$W$16), $F74,
                       IF(OR($F74 = マスタ!$C$3, $F74=マスタ!$C$4), マスタ!$C$5,
                            IF(OR($F74 = マスタ!$C$6, $F74 = マスタ!$C$7), マスタ!$C$8, ""))))))</f>
        <v/>
      </c>
      <c r="BM74" s="75" t="str">
        <f>IF($L74&lt;&gt;"", $L74,
       IF($M74 = マスタ!$B$3,
          IF(OR($F74=マスタ!$C$3,$F74=マスタ!$C$4,$F74=マスタ!$C$5),
            IF(OR($G74 = マスタ!$D$54, $G74 = マスタ!$D$55), 0.75, 0.87),
            IF(OR($G74 = マスタ!$D$54, $G74 = マスタ!$D$55), 0.62, 0.72)),
                 IF(ISBLANK($L74), "", $L74)))</f>
        <v/>
      </c>
      <c r="BN74" s="99" t="str">
        <f>IF($L74&lt;&gt;"", $L74,
        IF($O74 = マスタ!$B$3,
          IF(OR($F74=マスタ!$C$3,$F74=マスタ!$C$4,$F74=マスタ!$C$5), 0.6, 0.5),
             IF(ISBLANK($L74), "", $L74)))</f>
        <v/>
      </c>
      <c r="BO74" s="99" t="str">
        <f>IF($T74&lt;&gt;マスタ!$B$3,
        IF(ISBLANK($S74),"",$S74),
             IF($BL74=マスタ!$C$3,0.8,
             IF($BL74=マスタ!$C$4,0.85,
             IF($BL74=マスタ!$C$6,0.9,
             IF($BL74=マスタ!$C$7,0.9,
             IF($BL74=マスタ!$C$5,1,
             IF($BL74=マスタ!$C$8,1,"無効な入力")))))))</f>
        <v/>
      </c>
      <c r="BP74" s="99" t="str">
        <f>IF($Y74&lt;&gt;マスタ!$B$3,
   IF(ISBLANK($X74), "", $X74),
   IF($BL74=マスタ!$C$3, 0.75,
      IF($BL74=マスタ!$C$4, 0.8,
         IF($BL74=マスタ!$C$6, 0.8,
            IF($BL74=マスタ!$C$7, 0.8,
               IF($BL74=マスタ!$C$5, 0.8,
                  IF($BL74=マスタ!$C$8, 0.8, "無効な入力")))))))</f>
        <v/>
      </c>
      <c r="BQ74" s="75"/>
      <c r="BR74" s="75"/>
      <c r="BS74" s="75"/>
      <c r="BT74" s="75"/>
      <c r="BU74" s="75"/>
      <c r="BV74" s="75"/>
      <c r="BW74" s="75"/>
      <c r="BX74" s="75"/>
      <c r="BY74" s="75"/>
    </row>
    <row r="75" spans="3:77" ht="30.75" customHeight="1">
      <c r="C75" s="69" t="str" cm="1">
        <f t="array" aca="1" ref="C75" ca="1">IF(SUMPRODUCT(--($D75:$AU75 &lt;&gt; "")),RIGHT(YEAR(TODAY()),2)&amp;"01"&amp;REPT("0",4-LEN(ROW()-11))&amp;ROW()-11,"")</f>
        <v/>
      </c>
      <c r="D75" s="141"/>
      <c r="E75" s="142"/>
      <c r="F75" s="71"/>
      <c r="G75" s="66"/>
      <c r="H75" s="41" t="str">
        <f>IFERROR(VLOOKUP(G75,マスタ!$D$3:$E$55,2,FALSE),"")</f>
        <v/>
      </c>
      <c r="I75" s="93"/>
      <c r="J75" s="77"/>
      <c r="K75" s="66"/>
      <c r="L75" s="103"/>
      <c r="M75" s="71"/>
      <c r="N75" s="101" t="str">
        <f>IF($M75 = $BM$9, $BM$9,
        IF($L75 = "", "",
              IF(OR(
                          AND(OR($G75 = マスタ!$D$54, $G75 = マスタ!$D$55), $L75 &lt;= $BP$9),
                          AND($G75 &lt;&gt; マスタ!$D$54, $G75 &lt;&gt; マスタ!$D$55, $L75 &lt;= $BQ$9)
                         ), $BM$9, $BN$9)))</f>
        <v/>
      </c>
      <c r="O75" s="71"/>
      <c r="P75" s="101" t="str">
        <f t="shared" si="21"/>
        <v/>
      </c>
      <c r="Q75" s="124"/>
      <c r="R75" s="124"/>
      <c r="S75" s="112" t="str">
        <f t="shared" si="19"/>
        <v/>
      </c>
      <c r="T75" s="71"/>
      <c r="U75" s="41" t="str">
        <f>IF($T75=$BM$9, $BM$9,
        IF($S75="", "",
             IF(OR(AND($BL75=マスタ!$C$3, $S75&lt;=$BS$9),
                        AND($BL75=マスタ!$C$4, $S75&lt;=$BT$9),
                        AND(OR($BL75=マスタ!$C$6, $BL75=マスタ!$C$7), $S75&lt;=$BU$9),
                        AND(OR($BL75=マスタ!$C$5, $BL75=マスタ!$C$8), $S75&lt;=$BV$9)),
                  $BM$9, $BN$9)))</f>
        <v/>
      </c>
      <c r="V75" s="129" t="str">
        <f t="shared" si="16"/>
        <v/>
      </c>
      <c r="W75" s="124"/>
      <c r="X75" s="112" t="str">
        <f t="shared" si="20"/>
        <v/>
      </c>
      <c r="Y75" s="71"/>
      <c r="Z75" s="41" t="str">
        <f>IF($Y75=$BM$9, $BM$9,
        IF(AND($T75 = $BM$9, $Y75 = $BO$9), $BN$9,
             IF($BL75=マスタ!$C$3,
                  IF($X75&lt;=$BW$9, $BM$9,$BN$9),
                       IF(OR($BL75=マスタ!$C$4, $BL75=マスタ!$C$5, $BL75=マスタ!$C$6, $BL75=マスタ!$C$7, $BL75=マスタ!$C$8),
                            IF($X75&lt;=$BX$9, $BM$9,$BN$9), ""))))</f>
        <v/>
      </c>
      <c r="AA75" s="71"/>
      <c r="AB75" s="71"/>
      <c r="AC75" s="71"/>
      <c r="AD75" s="165"/>
      <c r="AE75" s="71"/>
      <c r="AF75" s="165"/>
      <c r="AG75" s="92"/>
      <c r="AH75" s="92"/>
      <c r="AI75" s="92"/>
      <c r="AJ75" s="92"/>
      <c r="AK75" s="121"/>
      <c r="AL75" s="121"/>
      <c r="AM75" s="121"/>
      <c r="AN75" s="121"/>
      <c r="AO75" s="92"/>
      <c r="AP75" s="130" t="str">
        <f t="shared" si="5"/>
        <v/>
      </c>
      <c r="AQ75" s="121"/>
      <c r="AR75" s="101" t="str">
        <f>IF(OR(SUMPRODUCT(--(AJ75:AQ75&lt;&gt;""))&lt;7,AND($AJ75=マスタ!$N$3,$AK75="")), "",
        IF($AJ75=マスタ!$N$5, $BO$9,
              IF(OR($F75=マスタ!$C$3, $F75=マスタ!$C$4, $F75=マスタ!$C$5),
                    IF(SUM($AL75,$AM75,$AP75,$AQ75)&gt;=1, $BM$9, $BN$9),
              IF(OR($F75=マスタ!$C$6, $F75=マスタ!$C$7, $F75=マスタ!$C$8),
                    IF($AK75&lt;10, $BO$9,
                          IF(AND(SUM($AL75,$AM75,$AP75,$AQ75)&gt;=($AK75*0.2), $AM75+$AP75+$AQ75&gt;=1),
                               $BM$9,$BN$9))))))</f>
        <v/>
      </c>
      <c r="AS75" s="101" t="str">
        <f>IF(OR(SUMPRODUCT(--(AJ75:AQ75&lt;&gt;""))&lt;7,AND($AJ75=マスタ!$N$3,$AK75="")), "",
     IF($AR75=$BN$9,$BN$9,
        IF($AJ75=マスタ!$N$5, $BO$9,
             IF(OR($F75=マスタ!$C$3, $F75=マスタ!$C$4, $F75=マスタ!$C$5),
                   IF($AQ75&gt;=1, $BM$9, $BN$9),
             IF(OR($F75=マスタ!$C$6, $F75=マスタ!$C$7, $F75=マスタ!$C$8),
                   IF($AK75&lt;5, IF($AQ75&gt;=1, $BM$9, $BN$9),
                         IF(OR($AQ75&gt;=1,
                                    AND(SUM($AL75,$AM75,$AP75,$AQ75)&gt;=$AK75*0.5, ($AM75+$AP75+$AQ75)&gt;=($AK75*0.2))),
                              $BM$9,$BN$9)))))))</f>
        <v/>
      </c>
      <c r="AT75" s="66"/>
      <c r="AU75" s="143"/>
      <c r="AV75" s="98" t="str" cm="1">
        <f t="array" aca="1" ref="AV75" ca="1">IF(AND($F75:$G75&lt;&gt;"", $I75:$K75&lt;&gt;"",
                 IF(OR($M75=$BM$9,$O75=$BM$9), TRUE, $L75&lt;&gt;""),
                 $M75&lt;&gt;"",$O75&lt;&gt;"",
                 IF($T75=$BM$9, TRUE, $Q75:$R75&lt;&gt;""),
                 IF(AND($BL75&lt;&gt;"", $BL75&lt;&gt;マスタ!$C$5, $BL75&lt;&gt;マスタ!$C$8), TRUE, $T75&lt;&gt;""),
                 IF(OR(AND($T75=$BM$9,  $Y75=$BO$9), $Y75=$BM$9), TRUE,$W75&lt;&gt;""),
                 IF(AND($BL75&lt;&gt;"", $BL75&lt;&gt;マスタ!$C$5, $BL75&lt;&gt;マスタ!$C$8), TRUE, $Y75&lt;&gt;""),
                 $AA75&lt;&gt;"",
                 IF($AA75=マスタ!$F$4, TRUE, $AB75&lt;&gt;""),
                 $AG75:$AO75&lt;&gt;"", $AQ75&lt;&gt;"", $AT75&lt;&gt;""),
        "（正常）入力済み", IF($C75= "", "（複数入力）未入力", "（エラー）一部未入力"))</f>
        <v>（複数入力）未入力</v>
      </c>
      <c r="AW75" s="98" t="str">
        <f t="shared" ca="1" si="6"/>
        <v/>
      </c>
      <c r="AX75" s="98" t="str">
        <f t="shared" ca="1" si="22"/>
        <v/>
      </c>
      <c r="AY75" s="98" t="str">
        <f t="shared" ca="1" si="23"/>
        <v/>
      </c>
      <c r="AZ75" s="98" t="str">
        <f t="shared" ca="1" si="24"/>
        <v/>
      </c>
      <c r="BA75" s="98" t="str">
        <f t="shared" ca="1" si="25"/>
        <v/>
      </c>
      <c r="BB75" s="98" t="str">
        <f t="shared" ca="1" si="26"/>
        <v/>
      </c>
      <c r="BC75" s="98" t="str">
        <f t="shared" ca="1" si="27"/>
        <v/>
      </c>
      <c r="BD75" s="98" t="str">
        <f t="shared" ca="1" si="28"/>
        <v/>
      </c>
      <c r="BE75" s="98" t="str">
        <f>IF($BL75="","",
   IF($T75=入力不可用2,
      IF(OR($BL75=マスタ!$C$5,$BL75=マスタ!$C$8), "未入力", "（正常）規定値"),
      IF(OR($BL75=マスタ!$C$5,$BL75=マスタ!$C$8), "（正常）規定値", "（エラー）値入力不可")))</f>
        <v/>
      </c>
      <c r="BF75" s="98" t="str">
        <f ca="1">IF($C75 = "", "",
       IF(AND(OR($BL75=マスタ!$C$5, $BL75=マスタ!$C$8), $T75 = ""), "未入力",
            IF(AND($Y75 = $BM$9, $T75 = $BO$9), "（エラー）「適合」のみ入力可", "（正常）規定値")))</f>
        <v/>
      </c>
      <c r="BG75" s="98" t="str">
        <f t="shared" ca="1" si="29"/>
        <v/>
      </c>
      <c r="BH75" s="98" t="str">
        <f t="shared" ca="1" si="30"/>
        <v/>
      </c>
      <c r="BI75" s="98" t="str">
        <f>IF($BL75="","",
   IF($Y75=入力不可用2,
      IF(OR($BL75=マスタ!$C$5,$BL75=マスタ!$C$8), "未入力", "（正常）規定値"),
      IF(OR($BL75=マスタ!$C$5,$BL75=マスタ!$C$8), "（正常）規定値", "（エラー）値入力不可")))</f>
        <v/>
      </c>
      <c r="BJ75" s="98" t="str">
        <f>IF($AA75="", "",
        IF($AA75=マスタ!$F$3,
             IF($AB75="", "未入力", "（正常）規定値"),
                  IF($AA75=マスタ!$F$4,
                       IF($AB75&lt;&gt;入力不可用2, "（エラー）値入力不可", "（正常）規定値"))))</f>
        <v/>
      </c>
      <c r="BL75" s="75" t="str">
        <f>IF(OR($F75 = マスタ!$C$5, F75 = マスタ!$C$8), $F75,
        IF(AND($F75 = マスタ!$C$3, 'その１事業者基本情報_入力シート（一部非公開）'!$U$16), $F75,
             IF(AND($F75 = マスタ!$C$4, 'その１事業者基本情報_入力シート（一部非公開）'!$S$16), $F75,
                  IF(AND(OR($F75 = マスタ!$C$6, $F75 = マスタ!$C$7),
                                'その１事業者基本情報_入力シート（一部非公開）'!$W$16), $F75,
                       IF(OR($F75 = マスタ!$C$3, $F75=マスタ!$C$4), マスタ!$C$5,
                            IF(OR($F75 = マスタ!$C$6, $F75 = マスタ!$C$7), マスタ!$C$8, ""))))))</f>
        <v/>
      </c>
      <c r="BM75" s="75" t="str">
        <f>IF($L75&lt;&gt;"", $L75,
       IF($M75 = マスタ!$B$3,
          IF(OR($F75=マスタ!$C$3,$F75=マスタ!$C$4,$F75=マスタ!$C$5),
            IF(OR($G75 = マスタ!$D$54, $G75 = マスタ!$D$55), 0.75, 0.87),
            IF(OR($G75 = マスタ!$D$54, $G75 = マスタ!$D$55), 0.62, 0.72)),
                 IF(ISBLANK($L75), "", $L75)))</f>
        <v/>
      </c>
      <c r="BN75" s="99" t="str">
        <f>IF($L75&lt;&gt;"", $L75,
        IF($O75 = マスタ!$B$3,
          IF(OR($F75=マスタ!$C$3,$F75=マスタ!$C$4,$F75=マスタ!$C$5), 0.6, 0.5),
             IF(ISBLANK($L75), "", $L75)))</f>
        <v/>
      </c>
      <c r="BO75" s="99" t="str">
        <f>IF($T75&lt;&gt;マスタ!$B$3,
        IF(ISBLANK($S75),"",$S75),
             IF($BL75=マスタ!$C$3,0.8,
             IF($BL75=マスタ!$C$4,0.85,
             IF($BL75=マスタ!$C$6,0.9,
             IF($BL75=マスタ!$C$7,0.9,
             IF($BL75=マスタ!$C$5,1,
             IF($BL75=マスタ!$C$8,1,"無効な入力")))))))</f>
        <v/>
      </c>
      <c r="BP75" s="99" t="str">
        <f>IF($Y75&lt;&gt;マスタ!$B$3,
   IF(ISBLANK($X75), "", $X75),
   IF($BL75=マスタ!$C$3, 0.75,
      IF($BL75=マスタ!$C$4, 0.8,
         IF($BL75=マスタ!$C$6, 0.8,
            IF($BL75=マスタ!$C$7, 0.8,
               IF($BL75=マスタ!$C$5, 0.8,
                  IF($BL75=マスタ!$C$8, 0.8, "無効な入力")))))))</f>
        <v/>
      </c>
      <c r="BQ75" s="75"/>
      <c r="BR75" s="75"/>
      <c r="BS75" s="75"/>
      <c r="BT75" s="75"/>
      <c r="BU75" s="75"/>
      <c r="BV75" s="75"/>
      <c r="BW75" s="75"/>
      <c r="BX75" s="75"/>
      <c r="BY75" s="75"/>
    </row>
    <row r="76" spans="3:77" ht="30.75" customHeight="1">
      <c r="C76" s="69" t="str" cm="1">
        <f t="array" aca="1" ref="C76" ca="1">IF(SUMPRODUCT(--($D76:$AU76 &lt;&gt; "")),RIGHT(YEAR(TODAY()),2)&amp;"01"&amp;REPT("0",4-LEN(ROW()-11))&amp;ROW()-11,"")</f>
        <v/>
      </c>
      <c r="D76" s="141"/>
      <c r="E76" s="142"/>
      <c r="F76" s="71"/>
      <c r="G76" s="66"/>
      <c r="H76" s="41" t="str">
        <f>IFERROR(VLOOKUP(G76,マスタ!$D$3:$E$55,2,FALSE),"")</f>
        <v/>
      </c>
      <c r="I76" s="93"/>
      <c r="J76" s="77"/>
      <c r="K76" s="66"/>
      <c r="L76" s="103"/>
      <c r="M76" s="71"/>
      <c r="N76" s="101" t="str">
        <f>IF($M76 = $BM$9, $BM$9,
        IF($L76 = "", "",
              IF(OR(
                          AND(OR($G76 = マスタ!$D$54, $G76 = マスタ!$D$55), $L76 &lt;= $BP$9),
                          AND($G76 &lt;&gt; マスタ!$D$54, $G76 &lt;&gt; マスタ!$D$55, $L76 &lt;= $BQ$9)
                         ), $BM$9, $BN$9)))</f>
        <v/>
      </c>
      <c r="O76" s="71"/>
      <c r="P76" s="101" t="str">
        <f t="shared" ref="P76:P112" si="31">IF($O76 = $BM$9, $BM$9,
        IF(AND($M76 = $BM$9, $O76 = $BO$9), $BN$9,
             IF($L76 = "", "",
                   IF($L76 &lt;= $BR$9, $BM$9, $BN$9))))</f>
        <v/>
      </c>
      <c r="Q76" s="124"/>
      <c r="R76" s="124"/>
      <c r="S76" s="112" t="str">
        <f t="shared" si="19"/>
        <v/>
      </c>
      <c r="T76" s="71"/>
      <c r="U76" s="41" t="str">
        <f>IF($T76=$BM$9, $BM$9,
        IF($S76="", "",
             IF(OR(AND($BL76=マスタ!$C$3, $S76&lt;=$BS$9),
                        AND($BL76=マスタ!$C$4, $S76&lt;=$BT$9),
                        AND(OR($BL76=マスタ!$C$6, $BL76=マスタ!$C$7), $S76&lt;=$BU$9),
                        AND(OR($BL76=マスタ!$C$5, $BL76=マスタ!$C$8), $S76&lt;=$BV$9)),
                  $BM$9, $BN$9)))</f>
        <v/>
      </c>
      <c r="V76" s="129" t="str">
        <f t="shared" si="16"/>
        <v/>
      </c>
      <c r="W76" s="124"/>
      <c r="X76" s="112" t="str">
        <f t="shared" si="20"/>
        <v/>
      </c>
      <c r="Y76" s="71"/>
      <c r="Z76" s="41" t="str">
        <f>IF($Y76=$BM$9, $BM$9,
        IF(AND($T76 = $BM$9, $Y76 = $BO$9), $BN$9,
             IF($BL76=マスタ!$C$3,
                  IF($X76&lt;=$BW$9, $BM$9,$BN$9),
                       IF(OR($BL76=マスタ!$C$4, $BL76=マスタ!$C$5, $BL76=マスタ!$C$6, $BL76=マスタ!$C$7, $BL76=マスタ!$C$8),
                            IF($X76&lt;=$BX$9, $BM$9,$BN$9), ""))))</f>
        <v/>
      </c>
      <c r="AA76" s="71"/>
      <c r="AB76" s="71"/>
      <c r="AC76" s="71"/>
      <c r="AD76" s="165"/>
      <c r="AE76" s="71"/>
      <c r="AF76" s="165"/>
      <c r="AG76" s="92"/>
      <c r="AH76" s="92"/>
      <c r="AI76" s="92"/>
      <c r="AJ76" s="92"/>
      <c r="AK76" s="121"/>
      <c r="AL76" s="121"/>
      <c r="AM76" s="121"/>
      <c r="AN76" s="121"/>
      <c r="AO76" s="92"/>
      <c r="AP76" s="130" t="str">
        <f t="shared" si="5"/>
        <v/>
      </c>
      <c r="AQ76" s="121"/>
      <c r="AR76" s="101" t="str">
        <f>IF(OR(SUMPRODUCT(--(AJ76:AQ76&lt;&gt;""))&lt;7,AND($AJ76=マスタ!$N$3,$AK76="")), "",
        IF($AJ76=マスタ!$N$5, $BO$9,
              IF(OR($F76=マスタ!$C$3, $F76=マスタ!$C$4, $F76=マスタ!$C$5),
                    IF(SUM($AL76,$AM76,$AP76,$AQ76)&gt;=1, $BM$9, $BN$9),
              IF(OR($F76=マスタ!$C$6, $F76=マスタ!$C$7, $F76=マスタ!$C$8),
                    IF($AK76&lt;10, $BO$9,
                          IF(AND(SUM($AL76,$AM76,$AP76,$AQ76)&gt;=($AK76*0.2), $AM76+$AP76+$AQ76&gt;=1),
                               $BM$9,$BN$9))))))</f>
        <v/>
      </c>
      <c r="AS76" s="101" t="str">
        <f>IF(OR(SUMPRODUCT(--(AJ76:AQ76&lt;&gt;""))&lt;7,AND($AJ76=マスタ!$N$3,$AK76="")), "",
     IF($AR76=$BN$9,$BN$9,
        IF($AJ76=マスタ!$N$5, $BO$9,
             IF(OR($F76=マスタ!$C$3, $F76=マスタ!$C$4, $F76=マスタ!$C$5),
                   IF($AQ76&gt;=1, $BM$9, $BN$9),
             IF(OR($F76=マスタ!$C$6, $F76=マスタ!$C$7, $F76=マスタ!$C$8),
                   IF($AK76&lt;5, IF($AQ76&gt;=1, $BM$9, $BN$9),
                         IF(OR($AQ76&gt;=1,
                                    AND(SUM($AL76,$AM76,$AP76,$AQ76)&gt;=$AK76*0.5, ($AM76+$AP76+$AQ76)&gt;=($AK76*0.2))),
                              $BM$9,$BN$9)))))))</f>
        <v/>
      </c>
      <c r="AT76" s="66"/>
      <c r="AU76" s="143"/>
      <c r="AV76" s="98" t="str" cm="1">
        <f t="array" aca="1" ref="AV76" ca="1">IF(AND($F76:$G76&lt;&gt;"", $I76:$K76&lt;&gt;"",
                 IF(OR($M76=$BM$9,$O76=$BM$9), TRUE, $L76&lt;&gt;""),
                 $M76&lt;&gt;"",$O76&lt;&gt;"",
                 IF($T76=$BM$9, TRUE, $Q76:$R76&lt;&gt;""),
                 IF(AND($BL76&lt;&gt;"", $BL76&lt;&gt;マスタ!$C$5, $BL76&lt;&gt;マスタ!$C$8), TRUE, $T76&lt;&gt;""),
                 IF(OR(AND($T76=$BM$9,  $Y76=$BO$9), $Y76=$BM$9), TRUE,$W76&lt;&gt;""),
                 IF(AND($BL76&lt;&gt;"", $BL76&lt;&gt;マスタ!$C$5, $BL76&lt;&gt;マスタ!$C$8), TRUE, $Y76&lt;&gt;""),
                 $AA76&lt;&gt;"",
                 IF($AA76=マスタ!$F$4, TRUE, $AB76&lt;&gt;""),
                 $AG76:$AO76&lt;&gt;"", $AQ76&lt;&gt;"", $AT76&lt;&gt;""),
        "（正常）入力済み", IF($C76= "", "（複数入力）未入力", "（エラー）一部未入力"))</f>
        <v>（複数入力）未入力</v>
      </c>
      <c r="AW76" s="98" t="str">
        <f t="shared" ca="1" si="6"/>
        <v/>
      </c>
      <c r="AX76" s="98" t="str">
        <f t="shared" ref="AX76:AX112" ca="1" si="32">IF($C76="", "", IF(L76="",IF(OR($M76=$BM$9, $O76=$BM$9), "（正常）入力不要", "未入力"),
        IF(LEN(
                      MID(L76,FIND(".",L76&amp;".")+1,LEN(L76))
                     )&gt;2, "（エラー）小数第2位以下切り上げ要", "（正常）規定内の桁数")))</f>
        <v/>
      </c>
      <c r="AY76" s="98" t="str">
        <f t="shared" ref="AY76:AY112" ca="1" si="33">IF($C76="", "", IF(OR($M76=$BM$9, $O76=$BM$9),
                                 IF($L76&lt;&gt;"", "（エラー）値入力不可", "（正常）入力不要"),
                                      IF($L76&lt;&gt;"","（正常）規定値","未入力")))</f>
        <v/>
      </c>
      <c r="AZ76" s="98" t="str">
        <f t="shared" ref="AZ76:AZ112" ca="1" si="34">IF($C76 = "", "",
       IF($M76 = "", "未入力",
            IF(AND($O76 = $BM$9, $M76 = $BO$9), "（エラー）「適合」のみ入力可", "（正常）規定値")))</f>
        <v/>
      </c>
      <c r="BA76" s="98" t="str">
        <f t="shared" ref="BA76:BA112" ca="1" si="35">IF($C76="", "", IF(Q76="", IF($T76=$BM$9, "（正常）入力不要", "未入力"),
        IF(LEN(
                      MID(Q76,FIND(".",Q76&amp;".")+1,LEN(Q76))
                     )&gt;1, "（エラー）小数第2位以下切り上げ要", "（正常）規定内の桁数")))</f>
        <v/>
      </c>
      <c r="BB76" s="98" t="str">
        <f t="shared" ref="BB76:BB112" ca="1" si="36">IF($C76="", "", IF($T76=$BM$9,
                                 IF($Q76&lt;&gt;"", "（エラー）値入力不可", "（正常）規定値"),
                                      IF($Q76&lt;&gt;"","（正常）規定値","未入力")))</f>
        <v/>
      </c>
      <c r="BC76" s="98" t="str">
        <f t="shared" ref="BC76:BC112" ca="1" si="37">IF($C76="", "", IF(R76="", IF($T76=$BM$9, "（正常）入力不要", "未入力"),
        IF(LEN(
                      MID(R76,FIND(".",R76&amp;".")+1,LEN(R76))
                     )&gt;1, "（エラー）小数第2位以下切り上げ要", "（正常）規定内の桁数")))</f>
        <v/>
      </c>
      <c r="BD76" s="98" t="str">
        <f t="shared" ref="BD76:BD112" ca="1" si="38">IF($C76="", "", IF($T76=$BM$9,
                                 IF($R76&lt;&gt;"", "（エラー）値入力不可", "（正常）規定値"),
                                      IF($R76&lt;&gt;"","（正常）規定値","未入力")))</f>
        <v/>
      </c>
      <c r="BE76" s="98" t="str">
        <f>IF($BL76="","",
   IF($T76=入力不可用2,
      IF(OR($BL76=マスタ!$C$5,$BL76=マスタ!$C$8), "未入力", "（正常）規定値"),
      IF(OR($BL76=マスタ!$C$5,$BL76=マスタ!$C$8), "（正常）規定値", "（エラー）値入力不可")))</f>
        <v/>
      </c>
      <c r="BF76" s="98" t="str">
        <f ca="1">IF($C76 = "", "",
       IF(AND(OR($BL76=マスタ!$C$5, $BL76=マスタ!$C$8), $T76 = ""), "未入力",
            IF(AND($Y76 = $BM$9, $T76 = $BO$9), "（エラー）「適合」のみ入力可", "（正常）規定値")))</f>
        <v/>
      </c>
      <c r="BG76" s="98" t="str">
        <f t="shared" ref="BG76:BG112" ca="1" si="39">IF($C76="", "", IF(W76="", IF(OR($T76=$BM$9, $Y76=$BM$9), "（正常）入力不要", "未入力"),
        IF(LEN(
                      MID(W76,FIND(".",W76&amp;".")+1,LEN(W76))
                     )&gt;1, "（エラー）小数第2位以下切り上げ要", "（正常）規定内の桁数")))</f>
        <v/>
      </c>
      <c r="BH76" s="98" t="str">
        <f t="shared" ref="BH76:BH112" ca="1" si="40">IF($C76="","",
  IF($W76&lt;&gt;"",
    IF($Y76=$BM$9,"（エラー）値入力不可","（正常）規定値"),
    IF(OR($Y76=$BM$9, $T76=$BM$9),"（正常）入力不要","未入力")))</f>
        <v/>
      </c>
      <c r="BI76" s="98" t="str">
        <f>IF($BL76="","",
   IF($Y76=入力不可用2,
      IF(OR($BL76=マスタ!$C$5,$BL76=マスタ!$C$8), "未入力", "（正常）規定値"),
      IF(OR($BL76=マスタ!$C$5,$BL76=マスタ!$C$8), "（正常）規定値", "（エラー）値入力不可")))</f>
        <v/>
      </c>
      <c r="BJ76" s="98" t="str">
        <f>IF($AA76="", "",
        IF($AA76=マスタ!$F$3,
             IF($AB76="", "未入力", "（正常）規定値"),
                  IF($AA76=マスタ!$F$4,
                       IF($AB76&lt;&gt;入力不可用2, "（エラー）値入力不可", "（正常）規定値"))))</f>
        <v/>
      </c>
      <c r="BL76" s="75" t="str">
        <f>IF(OR($F76 = マスタ!$C$5, F76 = マスタ!$C$8), $F76,
        IF(AND($F76 = マスタ!$C$3, 'その１事業者基本情報_入力シート（一部非公開）'!$U$16), $F76,
             IF(AND($F76 = マスタ!$C$4, 'その１事業者基本情報_入力シート（一部非公開）'!$S$16), $F76,
                  IF(AND(OR($F76 = マスタ!$C$6, $F76 = マスタ!$C$7),
                                'その１事業者基本情報_入力シート（一部非公開）'!$W$16), $F76,
                       IF(OR($F76 = マスタ!$C$3, $F76=マスタ!$C$4), マスタ!$C$5,
                            IF(OR($F76 = マスタ!$C$6, $F76 = マスタ!$C$7), マスタ!$C$8, ""))))))</f>
        <v/>
      </c>
      <c r="BM76" s="75" t="str">
        <f>IF($L76&lt;&gt;"", $L76,
       IF($M76 = マスタ!$B$3,
          IF(OR($F76=マスタ!$C$3,$F76=マスタ!$C$4,$F76=マスタ!$C$5),
            IF(OR($G76 = マスタ!$D$54, $G76 = マスタ!$D$55), 0.75, 0.87),
            IF(OR($G76 = マスタ!$D$54, $G76 = マスタ!$D$55), 0.62, 0.72)),
                 IF(ISBLANK($L76), "", $L76)))</f>
        <v/>
      </c>
      <c r="BN76" s="99" t="str">
        <f>IF($L76&lt;&gt;"", $L76,
        IF($O76 = マスタ!$B$3,
          IF(OR($F76=マスタ!$C$3,$F76=マスタ!$C$4,$F76=マスタ!$C$5), 0.6, 0.5),
             IF(ISBLANK($L76), "", $L76)))</f>
        <v/>
      </c>
      <c r="BO76" s="99" t="str">
        <f>IF($T76&lt;&gt;マスタ!$B$3,
        IF(ISBLANK($S76),"",$S76),
             IF($BL76=マスタ!$C$3,0.8,
             IF($BL76=マスタ!$C$4,0.85,
             IF($BL76=マスタ!$C$6,0.9,
             IF($BL76=マスタ!$C$7,0.9,
             IF($BL76=マスタ!$C$5,1,
             IF($BL76=マスタ!$C$8,1,"無効な入力")))))))</f>
        <v/>
      </c>
      <c r="BP76" s="99" t="str">
        <f>IF($Y76&lt;&gt;マスタ!$B$3,
   IF(ISBLANK($X76), "", $X76),
   IF($BL76=マスタ!$C$3, 0.75,
      IF($BL76=マスタ!$C$4, 0.8,
         IF($BL76=マスタ!$C$6, 0.8,
            IF($BL76=マスタ!$C$7, 0.8,
               IF($BL76=マスタ!$C$5, 0.8,
                  IF($BL76=マスタ!$C$8, 0.8, "無効な入力")))))))</f>
        <v/>
      </c>
      <c r="BQ76" s="75"/>
      <c r="BR76" s="75"/>
      <c r="BS76" s="75"/>
      <c r="BT76" s="75"/>
      <c r="BU76" s="75"/>
      <c r="BV76" s="75"/>
      <c r="BW76" s="75"/>
      <c r="BX76" s="75"/>
      <c r="BY76" s="75"/>
    </row>
    <row r="77" spans="3:77" ht="30.75" customHeight="1">
      <c r="C77" s="69" t="str" cm="1">
        <f t="array" aca="1" ref="C77" ca="1">IF(SUMPRODUCT(--($D77:$AU77 &lt;&gt; "")),RIGHT(YEAR(TODAY()),2)&amp;"01"&amp;REPT("0",4-LEN(ROW()-11))&amp;ROW()-11,"")</f>
        <v/>
      </c>
      <c r="D77" s="141"/>
      <c r="E77" s="142"/>
      <c r="F77" s="71"/>
      <c r="G77" s="66"/>
      <c r="H77" s="41" t="str">
        <f>IFERROR(VLOOKUP(G77,マスタ!$D$3:$E$55,2,FALSE),"")</f>
        <v/>
      </c>
      <c r="I77" s="93"/>
      <c r="J77" s="77"/>
      <c r="K77" s="66"/>
      <c r="L77" s="103"/>
      <c r="M77" s="71"/>
      <c r="N77" s="101" t="str">
        <f>IF($M77 = $BM$9, $BM$9,
        IF($L77 = "", "",
              IF(OR(
                          AND(OR($G77 = マスタ!$D$54, $G77 = マスタ!$D$55), $L77 &lt;= $BP$9),
                          AND($G77 &lt;&gt; マスタ!$D$54, $G77 &lt;&gt; マスタ!$D$55, $L77 &lt;= $BQ$9)
                         ), $BM$9, $BN$9)))</f>
        <v/>
      </c>
      <c r="O77" s="71"/>
      <c r="P77" s="101" t="str">
        <f t="shared" si="31"/>
        <v/>
      </c>
      <c r="Q77" s="124"/>
      <c r="R77" s="124"/>
      <c r="S77" s="112" t="str">
        <f t="shared" si="19"/>
        <v/>
      </c>
      <c r="T77" s="71"/>
      <c r="U77" s="41" t="str">
        <f>IF($T77=$BM$9, $BM$9,
        IF($S77="", "",
             IF(OR(AND($BL77=マスタ!$C$3, $S77&lt;=$BS$9),
                        AND($BL77=マスタ!$C$4, $S77&lt;=$BT$9),
                        AND(OR($BL77=マスタ!$C$6, $BL77=マスタ!$C$7), $S77&lt;=$BU$9),
                        AND(OR($BL77=マスタ!$C$5, $BL77=マスタ!$C$8), $S77&lt;=$BV$9)),
                  $BM$9, $BN$9)))</f>
        <v/>
      </c>
      <c r="V77" s="129" t="str">
        <f t="shared" si="16"/>
        <v/>
      </c>
      <c r="W77" s="124"/>
      <c r="X77" s="112" t="str">
        <f t="shared" si="20"/>
        <v/>
      </c>
      <c r="Y77" s="71"/>
      <c r="Z77" s="41" t="str">
        <f>IF($Y77=$BM$9, $BM$9,
        IF(AND($T77 = $BM$9, $Y77 = $BO$9), $BN$9,
             IF($BL77=マスタ!$C$3,
                  IF($X77&lt;=$BW$9, $BM$9,$BN$9),
                       IF(OR($BL77=マスタ!$C$4, $BL77=マスタ!$C$5, $BL77=マスタ!$C$6, $BL77=マスタ!$C$7, $BL77=マスタ!$C$8),
                            IF($X77&lt;=$BX$9, $BM$9,$BN$9), ""))))</f>
        <v/>
      </c>
      <c r="AA77" s="71"/>
      <c r="AB77" s="71"/>
      <c r="AC77" s="71"/>
      <c r="AD77" s="165"/>
      <c r="AE77" s="71"/>
      <c r="AF77" s="165"/>
      <c r="AG77" s="92"/>
      <c r="AH77" s="92"/>
      <c r="AI77" s="92"/>
      <c r="AJ77" s="92"/>
      <c r="AK77" s="121"/>
      <c r="AL77" s="121"/>
      <c r="AM77" s="121"/>
      <c r="AN77" s="121"/>
      <c r="AO77" s="92"/>
      <c r="AP77" s="130" t="str">
        <f t="shared" si="5"/>
        <v/>
      </c>
      <c r="AQ77" s="121"/>
      <c r="AR77" s="101" t="str">
        <f>IF(OR(SUMPRODUCT(--(AJ77:AQ77&lt;&gt;""))&lt;7,AND($AJ77=マスタ!$N$3,$AK77="")), "",
        IF($AJ77=マスタ!$N$5, $BO$9,
              IF(OR($F77=マスタ!$C$3, $F77=マスタ!$C$4, $F77=マスタ!$C$5),
                    IF(SUM($AL77,$AM77,$AP77,$AQ77)&gt;=1, $BM$9, $BN$9),
              IF(OR($F77=マスタ!$C$6, $F77=マスタ!$C$7, $F77=マスタ!$C$8),
                    IF($AK77&lt;10, $BO$9,
                          IF(AND(SUM($AL77,$AM77,$AP77,$AQ77)&gt;=($AK77*0.2), $AM77+$AP77+$AQ77&gt;=1),
                               $BM$9,$BN$9))))))</f>
        <v/>
      </c>
      <c r="AS77" s="101" t="str">
        <f>IF(OR(SUMPRODUCT(--(AJ77:AQ77&lt;&gt;""))&lt;7,AND($AJ77=マスタ!$N$3,$AK77="")), "",
     IF($AR77=$BN$9,$BN$9,
        IF($AJ77=マスタ!$N$5, $BO$9,
             IF(OR($F77=マスタ!$C$3, $F77=マスタ!$C$4, $F77=マスタ!$C$5),
                   IF($AQ77&gt;=1, $BM$9, $BN$9),
             IF(OR($F77=マスタ!$C$6, $F77=マスタ!$C$7, $F77=マスタ!$C$8),
                   IF($AK77&lt;5, IF($AQ77&gt;=1, $BM$9, $BN$9),
                         IF(OR($AQ77&gt;=1,
                                    AND(SUM($AL77,$AM77,$AP77,$AQ77)&gt;=$AK77*0.5, ($AM77+$AP77+$AQ77)&gt;=($AK77*0.2))),
                              $BM$9,$BN$9)))))))</f>
        <v/>
      </c>
      <c r="AT77" s="66"/>
      <c r="AU77" s="143"/>
      <c r="AV77" s="98" t="str" cm="1">
        <f t="array" aca="1" ref="AV77" ca="1">IF(AND($F77:$G77&lt;&gt;"", $I77:$K77&lt;&gt;"",
                 IF(OR($M77=$BM$9,$O77=$BM$9), TRUE, $L77&lt;&gt;""),
                 $M77&lt;&gt;"",$O77&lt;&gt;"",
                 IF($T77=$BM$9, TRUE, $Q77:$R77&lt;&gt;""),
                 IF(AND($BL77&lt;&gt;"", $BL77&lt;&gt;マスタ!$C$5, $BL77&lt;&gt;マスタ!$C$8), TRUE, $T77&lt;&gt;""),
                 IF(OR(AND($T77=$BM$9,  $Y77=$BO$9), $Y77=$BM$9), TRUE,$W77&lt;&gt;""),
                 IF(AND($BL77&lt;&gt;"", $BL77&lt;&gt;マスタ!$C$5, $BL77&lt;&gt;マスタ!$C$8), TRUE, $Y77&lt;&gt;""),
                 $AA77&lt;&gt;"",
                 IF($AA77=マスタ!$F$4, TRUE, $AB77&lt;&gt;""),
                 $AG77:$AO77&lt;&gt;"", $AQ77&lt;&gt;"", $AT77&lt;&gt;""),
        "（正常）入力済み", IF($C77= "", "（複数入力）未入力", "（エラー）一部未入力"))</f>
        <v>（複数入力）未入力</v>
      </c>
      <c r="AW77" s="98" t="str">
        <f t="shared" ca="1" si="6"/>
        <v/>
      </c>
      <c r="AX77" s="98" t="str">
        <f t="shared" ca="1" si="32"/>
        <v/>
      </c>
      <c r="AY77" s="98" t="str">
        <f t="shared" ca="1" si="33"/>
        <v/>
      </c>
      <c r="AZ77" s="98" t="str">
        <f t="shared" ca="1" si="34"/>
        <v/>
      </c>
      <c r="BA77" s="98" t="str">
        <f t="shared" ca="1" si="35"/>
        <v/>
      </c>
      <c r="BB77" s="98" t="str">
        <f t="shared" ca="1" si="36"/>
        <v/>
      </c>
      <c r="BC77" s="98" t="str">
        <f t="shared" ca="1" si="37"/>
        <v/>
      </c>
      <c r="BD77" s="98" t="str">
        <f t="shared" ca="1" si="38"/>
        <v/>
      </c>
      <c r="BE77" s="98" t="str">
        <f>IF($BL77="","",
   IF($T77=入力不可用2,
      IF(OR($BL77=マスタ!$C$5,$BL77=マスタ!$C$8), "未入力", "（正常）規定値"),
      IF(OR($BL77=マスタ!$C$5,$BL77=マスタ!$C$8), "（正常）規定値", "（エラー）値入力不可")))</f>
        <v/>
      </c>
      <c r="BF77" s="98" t="str">
        <f ca="1">IF($C77 = "", "",
       IF(AND(OR($BL77=マスタ!$C$5, $BL77=マスタ!$C$8), $T77 = ""), "未入力",
            IF(AND($Y77 = $BM$9, $T77 = $BO$9), "（エラー）「適合」のみ入力可", "（正常）規定値")))</f>
        <v/>
      </c>
      <c r="BG77" s="98" t="str">
        <f t="shared" ca="1" si="39"/>
        <v/>
      </c>
      <c r="BH77" s="98" t="str">
        <f t="shared" ca="1" si="40"/>
        <v/>
      </c>
      <c r="BI77" s="98" t="str">
        <f>IF($BL77="","",
   IF($Y77=入力不可用2,
      IF(OR($BL77=マスタ!$C$5,$BL77=マスタ!$C$8), "未入力", "（正常）規定値"),
      IF(OR($BL77=マスタ!$C$5,$BL77=マスタ!$C$8), "（正常）規定値", "（エラー）値入力不可")))</f>
        <v/>
      </c>
      <c r="BJ77" s="98" t="str">
        <f>IF($AA77="", "",
        IF($AA77=マスタ!$F$3,
             IF($AB77="", "未入力", "（正常）規定値"),
                  IF($AA77=マスタ!$F$4,
                       IF($AB77&lt;&gt;入力不可用2, "（エラー）値入力不可", "（正常）規定値"))))</f>
        <v/>
      </c>
      <c r="BL77" s="75" t="str">
        <f>IF(OR($F77 = マスタ!$C$5, F77 = マスタ!$C$8), $F77,
        IF(AND($F77 = マスタ!$C$3, 'その１事業者基本情報_入力シート（一部非公開）'!$U$16), $F77,
             IF(AND($F77 = マスタ!$C$4, 'その１事業者基本情報_入力シート（一部非公開）'!$S$16), $F77,
                  IF(AND(OR($F77 = マスタ!$C$6, $F77 = マスタ!$C$7),
                                'その１事業者基本情報_入力シート（一部非公開）'!$W$16), $F77,
                       IF(OR($F77 = マスタ!$C$3, $F77=マスタ!$C$4), マスタ!$C$5,
                            IF(OR($F77 = マスタ!$C$6, $F77 = マスタ!$C$7), マスタ!$C$8, ""))))))</f>
        <v/>
      </c>
      <c r="BM77" s="75" t="str">
        <f>IF($L77&lt;&gt;"", $L77,
       IF($M77 = マスタ!$B$3,
          IF(OR($F77=マスタ!$C$3,$F77=マスタ!$C$4,$F77=マスタ!$C$5),
            IF(OR($G77 = マスタ!$D$54, $G77 = マスタ!$D$55), 0.75, 0.87),
            IF(OR($G77 = マスタ!$D$54, $G77 = マスタ!$D$55), 0.62, 0.72)),
                 IF(ISBLANK($L77), "", $L77)))</f>
        <v/>
      </c>
      <c r="BN77" s="99" t="str">
        <f>IF($L77&lt;&gt;"", $L77,
        IF($O77 = マスタ!$B$3,
          IF(OR($F77=マスタ!$C$3,$F77=マスタ!$C$4,$F77=マスタ!$C$5), 0.6, 0.5),
             IF(ISBLANK($L77), "", $L77)))</f>
        <v/>
      </c>
      <c r="BO77" s="99" t="str">
        <f>IF($T77&lt;&gt;マスタ!$B$3,
        IF(ISBLANK($S77),"",$S77),
             IF($BL77=マスタ!$C$3,0.8,
             IF($BL77=マスタ!$C$4,0.85,
             IF($BL77=マスタ!$C$6,0.9,
             IF($BL77=マスタ!$C$7,0.9,
             IF($BL77=マスタ!$C$5,1,
             IF($BL77=マスタ!$C$8,1,"無効な入力")))))))</f>
        <v/>
      </c>
      <c r="BP77" s="99" t="str">
        <f>IF($Y77&lt;&gt;マスタ!$B$3,
   IF(ISBLANK($X77), "", $X77),
   IF($BL77=マスタ!$C$3, 0.75,
      IF($BL77=マスタ!$C$4, 0.8,
         IF($BL77=マスタ!$C$6, 0.8,
            IF($BL77=マスタ!$C$7, 0.8,
               IF($BL77=マスタ!$C$5, 0.8,
                  IF($BL77=マスタ!$C$8, 0.8, "無効な入力")))))))</f>
        <v/>
      </c>
      <c r="BQ77" s="75"/>
      <c r="BR77" s="75"/>
      <c r="BS77" s="75"/>
      <c r="BT77" s="75"/>
      <c r="BU77" s="75"/>
      <c r="BV77" s="75"/>
      <c r="BW77" s="75"/>
      <c r="BX77" s="75"/>
      <c r="BY77" s="75"/>
    </row>
    <row r="78" spans="3:77" ht="30.75" customHeight="1">
      <c r="C78" s="69" t="str" cm="1">
        <f t="array" aca="1" ref="C78" ca="1">IF(SUMPRODUCT(--($D78:$AU78 &lt;&gt; "")),RIGHT(YEAR(TODAY()),2)&amp;"01"&amp;REPT("0",4-LEN(ROW()-11))&amp;ROW()-11,"")</f>
        <v/>
      </c>
      <c r="D78" s="141"/>
      <c r="E78" s="142"/>
      <c r="F78" s="71"/>
      <c r="G78" s="66"/>
      <c r="H78" s="41" t="str">
        <f>IFERROR(VLOOKUP(G78,マスタ!$D$3:$E$55,2,FALSE),"")</f>
        <v/>
      </c>
      <c r="I78" s="93"/>
      <c r="J78" s="77"/>
      <c r="K78" s="66"/>
      <c r="L78" s="103"/>
      <c r="M78" s="71"/>
      <c r="N78" s="101" t="str">
        <f>IF($M78 = $BM$9, $BM$9,
        IF($L78 = "", "",
              IF(OR(
                          AND(OR($G78 = マスタ!$D$54, $G78 = マスタ!$D$55), $L78 &lt;= $BP$9),
                          AND($G78 &lt;&gt; マスタ!$D$54, $G78 &lt;&gt; マスタ!$D$55, $L78 &lt;= $BQ$9)
                         ), $BM$9, $BN$9)))</f>
        <v/>
      </c>
      <c r="O78" s="71"/>
      <c r="P78" s="101" t="str">
        <f t="shared" si="31"/>
        <v/>
      </c>
      <c r="Q78" s="124"/>
      <c r="R78" s="124"/>
      <c r="S78" s="112" t="str">
        <f t="shared" si="19"/>
        <v/>
      </c>
      <c r="T78" s="71"/>
      <c r="U78" s="41" t="str">
        <f>IF($T78=$BM$9, $BM$9,
        IF($S78="", "",
             IF(OR(AND($BL78=マスタ!$C$3, $S78&lt;=$BS$9),
                        AND($BL78=マスタ!$C$4, $S78&lt;=$BT$9),
                        AND(OR($BL78=マスタ!$C$6, $BL78=マスタ!$C$7), $S78&lt;=$BU$9),
                        AND(OR($BL78=マスタ!$C$5, $BL78=マスタ!$C$8), $S78&lt;=$BV$9)),
                  $BM$9, $BN$9)))</f>
        <v/>
      </c>
      <c r="V78" s="129" t="str">
        <f t="shared" si="16"/>
        <v/>
      </c>
      <c r="W78" s="124"/>
      <c r="X78" s="112" t="str">
        <f t="shared" si="20"/>
        <v/>
      </c>
      <c r="Y78" s="71"/>
      <c r="Z78" s="41" t="str">
        <f>IF($Y78=$BM$9, $BM$9,
        IF(AND($T78 = $BM$9, $Y78 = $BO$9), $BN$9,
             IF($BL78=マスタ!$C$3,
                  IF($X78&lt;=$BW$9, $BM$9,$BN$9),
                       IF(OR($BL78=マスタ!$C$4, $BL78=マスタ!$C$5, $BL78=マスタ!$C$6, $BL78=マスタ!$C$7, $BL78=マスタ!$C$8),
                            IF($X78&lt;=$BX$9, $BM$9,$BN$9), ""))))</f>
        <v/>
      </c>
      <c r="AA78" s="71"/>
      <c r="AB78" s="71"/>
      <c r="AC78" s="71"/>
      <c r="AD78" s="165"/>
      <c r="AE78" s="71"/>
      <c r="AF78" s="165"/>
      <c r="AG78" s="92"/>
      <c r="AH78" s="92"/>
      <c r="AI78" s="92"/>
      <c r="AJ78" s="92"/>
      <c r="AK78" s="121"/>
      <c r="AL78" s="121"/>
      <c r="AM78" s="121"/>
      <c r="AN78" s="121"/>
      <c r="AO78" s="92"/>
      <c r="AP78" s="130" t="str">
        <f t="shared" si="5"/>
        <v/>
      </c>
      <c r="AQ78" s="121"/>
      <c r="AR78" s="101" t="str">
        <f>IF(OR(SUMPRODUCT(--(AJ78:AQ78&lt;&gt;""))&lt;7,AND($AJ78=マスタ!$N$3,$AK78="")), "",
        IF($AJ78=マスタ!$N$5, $BO$9,
              IF(OR($F78=マスタ!$C$3, $F78=マスタ!$C$4, $F78=マスタ!$C$5),
                    IF(SUM($AL78,$AM78,$AP78,$AQ78)&gt;=1, $BM$9, $BN$9),
              IF(OR($F78=マスタ!$C$6, $F78=マスタ!$C$7, $F78=マスタ!$C$8),
                    IF($AK78&lt;10, $BO$9,
                          IF(AND(SUM($AL78,$AM78,$AP78,$AQ78)&gt;=($AK78*0.2), $AM78+$AP78+$AQ78&gt;=1),
                               $BM$9,$BN$9))))))</f>
        <v/>
      </c>
      <c r="AS78" s="101" t="str">
        <f>IF(OR(SUMPRODUCT(--(AJ78:AQ78&lt;&gt;""))&lt;7,AND($AJ78=マスタ!$N$3,$AK78="")), "",
     IF($AR78=$BN$9,$BN$9,
        IF($AJ78=マスタ!$N$5, $BO$9,
             IF(OR($F78=マスタ!$C$3, $F78=マスタ!$C$4, $F78=マスタ!$C$5),
                   IF($AQ78&gt;=1, $BM$9, $BN$9),
             IF(OR($F78=マスタ!$C$6, $F78=マスタ!$C$7, $F78=マスタ!$C$8),
                   IF($AK78&lt;5, IF($AQ78&gt;=1, $BM$9, $BN$9),
                         IF(OR($AQ78&gt;=1,
                                    AND(SUM($AL78,$AM78,$AP78,$AQ78)&gt;=$AK78*0.5, ($AM78+$AP78+$AQ78)&gt;=($AK78*0.2))),
                              $BM$9,$BN$9)))))))</f>
        <v/>
      </c>
      <c r="AT78" s="66"/>
      <c r="AU78" s="143"/>
      <c r="AV78" s="98" t="str" cm="1">
        <f t="array" aca="1" ref="AV78" ca="1">IF(AND($F78:$G78&lt;&gt;"", $I78:$K78&lt;&gt;"",
                 IF(OR($M78=$BM$9,$O78=$BM$9), TRUE, $L78&lt;&gt;""),
                 $M78&lt;&gt;"",$O78&lt;&gt;"",
                 IF($T78=$BM$9, TRUE, $Q78:$R78&lt;&gt;""),
                 IF(AND($BL78&lt;&gt;"", $BL78&lt;&gt;マスタ!$C$5, $BL78&lt;&gt;マスタ!$C$8), TRUE, $T78&lt;&gt;""),
                 IF(OR(AND($T78=$BM$9,  $Y78=$BO$9), $Y78=$BM$9), TRUE,$W78&lt;&gt;""),
                 IF(AND($BL78&lt;&gt;"", $BL78&lt;&gt;マスタ!$C$5, $BL78&lt;&gt;マスタ!$C$8), TRUE, $Y78&lt;&gt;""),
                 $AA78&lt;&gt;"",
                 IF($AA78=マスタ!$F$4, TRUE, $AB78&lt;&gt;""),
                 $AG78:$AO78&lt;&gt;"", $AQ78&lt;&gt;"", $AT78&lt;&gt;""),
        "（正常）入力済み", IF($C78= "", "（複数入力）未入力", "（エラー）一部未入力"))</f>
        <v>（複数入力）未入力</v>
      </c>
      <c r="AW78" s="98" t="str">
        <f t="shared" ca="1" si="6"/>
        <v/>
      </c>
      <c r="AX78" s="98" t="str">
        <f t="shared" ca="1" si="32"/>
        <v/>
      </c>
      <c r="AY78" s="98" t="str">
        <f t="shared" ca="1" si="33"/>
        <v/>
      </c>
      <c r="AZ78" s="98" t="str">
        <f t="shared" ca="1" si="34"/>
        <v/>
      </c>
      <c r="BA78" s="98" t="str">
        <f t="shared" ca="1" si="35"/>
        <v/>
      </c>
      <c r="BB78" s="98" t="str">
        <f t="shared" ca="1" si="36"/>
        <v/>
      </c>
      <c r="BC78" s="98" t="str">
        <f t="shared" ca="1" si="37"/>
        <v/>
      </c>
      <c r="BD78" s="98" t="str">
        <f t="shared" ca="1" si="38"/>
        <v/>
      </c>
      <c r="BE78" s="98" t="str">
        <f>IF($BL78="","",
   IF($T78=入力不可用2,
      IF(OR($BL78=マスタ!$C$5,$BL78=マスタ!$C$8), "未入力", "（正常）規定値"),
      IF(OR($BL78=マスタ!$C$5,$BL78=マスタ!$C$8), "（正常）規定値", "（エラー）値入力不可")))</f>
        <v/>
      </c>
      <c r="BF78" s="98" t="str">
        <f ca="1">IF($C78 = "", "",
       IF(AND(OR($BL78=マスタ!$C$5, $BL78=マスタ!$C$8), $T78 = ""), "未入力",
            IF(AND($Y78 = $BM$9, $T78 = $BO$9), "（エラー）「適合」のみ入力可", "（正常）規定値")))</f>
        <v/>
      </c>
      <c r="BG78" s="98" t="str">
        <f t="shared" ca="1" si="39"/>
        <v/>
      </c>
      <c r="BH78" s="98" t="str">
        <f t="shared" ca="1" si="40"/>
        <v/>
      </c>
      <c r="BI78" s="98" t="str">
        <f>IF($BL78="","",
   IF($Y78=入力不可用2,
      IF(OR($BL78=マスタ!$C$5,$BL78=マスタ!$C$8), "未入力", "（正常）規定値"),
      IF(OR($BL78=マスタ!$C$5,$BL78=マスタ!$C$8), "（正常）規定値", "（エラー）値入力不可")))</f>
        <v/>
      </c>
      <c r="BJ78" s="98" t="str">
        <f>IF($AA78="", "",
        IF($AA78=マスタ!$F$3,
             IF($AB78="", "未入力", "（正常）規定値"),
                  IF($AA78=マスタ!$F$4,
                       IF($AB78&lt;&gt;入力不可用2, "（エラー）値入力不可", "（正常）規定値"))))</f>
        <v/>
      </c>
      <c r="BL78" s="75" t="str">
        <f>IF(OR($F78 = マスタ!$C$5, F78 = マスタ!$C$8), $F78,
        IF(AND($F78 = マスタ!$C$3, 'その１事業者基本情報_入力シート（一部非公開）'!$U$16), $F78,
             IF(AND($F78 = マスタ!$C$4, 'その１事業者基本情報_入力シート（一部非公開）'!$S$16), $F78,
                  IF(AND(OR($F78 = マスタ!$C$6, $F78 = マスタ!$C$7),
                                'その１事業者基本情報_入力シート（一部非公開）'!$W$16), $F78,
                       IF(OR($F78 = マスタ!$C$3, $F78=マスタ!$C$4), マスタ!$C$5,
                            IF(OR($F78 = マスタ!$C$6, $F78 = マスタ!$C$7), マスタ!$C$8, ""))))))</f>
        <v/>
      </c>
      <c r="BM78" s="75" t="str">
        <f>IF($L78&lt;&gt;"", $L78,
       IF($M78 = マスタ!$B$3,
          IF(OR($F78=マスタ!$C$3,$F78=マスタ!$C$4,$F78=マスタ!$C$5),
            IF(OR($G78 = マスタ!$D$54, $G78 = マスタ!$D$55), 0.75, 0.87),
            IF(OR($G78 = マスタ!$D$54, $G78 = マスタ!$D$55), 0.62, 0.72)),
                 IF(ISBLANK($L78), "", $L78)))</f>
        <v/>
      </c>
      <c r="BN78" s="99" t="str">
        <f>IF($L78&lt;&gt;"", $L78,
        IF($O78 = マスタ!$B$3,
          IF(OR($F78=マスタ!$C$3,$F78=マスタ!$C$4,$F78=マスタ!$C$5), 0.6, 0.5),
             IF(ISBLANK($L78), "", $L78)))</f>
        <v/>
      </c>
      <c r="BO78" s="99" t="str">
        <f>IF($T78&lt;&gt;マスタ!$B$3,
        IF(ISBLANK($S78),"",$S78),
             IF($BL78=マスタ!$C$3,0.8,
             IF($BL78=マスタ!$C$4,0.85,
             IF($BL78=マスタ!$C$6,0.9,
             IF($BL78=マスタ!$C$7,0.9,
             IF($BL78=マスタ!$C$5,1,
             IF($BL78=マスタ!$C$8,1,"無効な入力")))))))</f>
        <v/>
      </c>
      <c r="BP78" s="99" t="str">
        <f>IF($Y78&lt;&gt;マスタ!$B$3,
   IF(ISBLANK($X78), "", $X78),
   IF($BL78=マスタ!$C$3, 0.75,
      IF($BL78=マスタ!$C$4, 0.8,
         IF($BL78=マスタ!$C$6, 0.8,
            IF($BL78=マスタ!$C$7, 0.8,
               IF($BL78=マスタ!$C$5, 0.8,
                  IF($BL78=マスタ!$C$8, 0.8, "無効な入力")))))))</f>
        <v/>
      </c>
      <c r="BQ78" s="75"/>
      <c r="BR78" s="75"/>
      <c r="BS78" s="75"/>
      <c r="BT78" s="75"/>
      <c r="BU78" s="75"/>
      <c r="BV78" s="75"/>
      <c r="BW78" s="75"/>
      <c r="BX78" s="75"/>
      <c r="BY78" s="75"/>
    </row>
    <row r="79" spans="3:77" ht="30.75" customHeight="1">
      <c r="C79" s="69" t="str" cm="1">
        <f t="array" aca="1" ref="C79" ca="1">IF(SUMPRODUCT(--($D79:$AU79 &lt;&gt; "")),RIGHT(YEAR(TODAY()),2)&amp;"01"&amp;REPT("0",4-LEN(ROW()-11))&amp;ROW()-11,"")</f>
        <v/>
      </c>
      <c r="D79" s="141"/>
      <c r="E79" s="142"/>
      <c r="F79" s="71"/>
      <c r="G79" s="66"/>
      <c r="H79" s="41" t="str">
        <f>IFERROR(VLOOKUP(G79,マスタ!$D$3:$E$55,2,FALSE),"")</f>
        <v/>
      </c>
      <c r="I79" s="93"/>
      <c r="J79" s="77"/>
      <c r="K79" s="66"/>
      <c r="L79" s="103"/>
      <c r="M79" s="71"/>
      <c r="N79" s="101" t="str">
        <f>IF($M79 = $BM$9, $BM$9,
        IF($L79 = "", "",
              IF(OR(
                          AND(OR($G79 = マスタ!$D$54, $G79 = マスタ!$D$55), $L79 &lt;= $BP$9),
                          AND($G79 &lt;&gt; マスタ!$D$54, $G79 &lt;&gt; マスタ!$D$55, $L79 &lt;= $BQ$9)
                         ), $BM$9, $BN$9)))</f>
        <v/>
      </c>
      <c r="O79" s="71"/>
      <c r="P79" s="101" t="str">
        <f t="shared" si="31"/>
        <v/>
      </c>
      <c r="Q79" s="124"/>
      <c r="R79" s="124"/>
      <c r="S79" s="112" t="str">
        <f t="shared" si="19"/>
        <v/>
      </c>
      <c r="T79" s="71"/>
      <c r="U79" s="41" t="str">
        <f>IF($T79=$BM$9, $BM$9,
        IF($S79="", "",
             IF(OR(AND($BL79=マスタ!$C$3, $S79&lt;=$BS$9),
                        AND($BL79=マスタ!$C$4, $S79&lt;=$BT$9),
                        AND(OR($BL79=マスタ!$C$6, $BL79=マスタ!$C$7), $S79&lt;=$BU$9),
                        AND(OR($BL79=マスタ!$C$5, $BL79=マスタ!$C$8), $S79&lt;=$BV$9)),
                  $BM$9, $BN$9)))</f>
        <v/>
      </c>
      <c r="V79" s="129" t="str">
        <f t="shared" si="16"/>
        <v/>
      </c>
      <c r="W79" s="124"/>
      <c r="X79" s="112" t="str">
        <f t="shared" si="20"/>
        <v/>
      </c>
      <c r="Y79" s="71"/>
      <c r="Z79" s="41" t="str">
        <f>IF($Y79=$BM$9, $BM$9,
        IF(AND($T79 = $BM$9, $Y79 = $BO$9), $BN$9,
             IF($BL79=マスタ!$C$3,
                  IF($X79&lt;=$BW$9, $BM$9,$BN$9),
                       IF(OR($BL79=マスタ!$C$4, $BL79=マスタ!$C$5, $BL79=マスタ!$C$6, $BL79=マスタ!$C$7, $BL79=マスタ!$C$8),
                            IF($X79&lt;=$BX$9, $BM$9,$BN$9), ""))))</f>
        <v/>
      </c>
      <c r="AA79" s="71"/>
      <c r="AB79" s="71"/>
      <c r="AC79" s="71"/>
      <c r="AD79" s="165"/>
      <c r="AE79" s="71"/>
      <c r="AF79" s="165"/>
      <c r="AG79" s="92"/>
      <c r="AH79" s="92"/>
      <c r="AI79" s="92"/>
      <c r="AJ79" s="92"/>
      <c r="AK79" s="121"/>
      <c r="AL79" s="121"/>
      <c r="AM79" s="121"/>
      <c r="AN79" s="121"/>
      <c r="AO79" s="92"/>
      <c r="AP79" s="130" t="str">
        <f t="shared" si="5"/>
        <v/>
      </c>
      <c r="AQ79" s="121"/>
      <c r="AR79" s="101" t="str">
        <f>IF(OR(SUMPRODUCT(--(AJ79:AQ79&lt;&gt;""))&lt;7,AND($AJ79=マスタ!$N$3,$AK79="")), "",
        IF($AJ79=マスタ!$N$5, $BO$9,
              IF(OR($F79=マスタ!$C$3, $F79=マスタ!$C$4, $F79=マスタ!$C$5),
                    IF(SUM($AL79,$AM79,$AP79,$AQ79)&gt;=1, $BM$9, $BN$9),
              IF(OR($F79=マスタ!$C$6, $F79=マスタ!$C$7, $F79=マスタ!$C$8),
                    IF($AK79&lt;10, $BO$9,
                          IF(AND(SUM($AL79,$AM79,$AP79,$AQ79)&gt;=($AK79*0.2), $AM79+$AP79+$AQ79&gt;=1),
                               $BM$9,$BN$9))))))</f>
        <v/>
      </c>
      <c r="AS79" s="101" t="str">
        <f>IF(OR(SUMPRODUCT(--(AJ79:AQ79&lt;&gt;""))&lt;7,AND($AJ79=マスタ!$N$3,$AK79="")), "",
     IF($AR79=$BN$9,$BN$9,
        IF($AJ79=マスタ!$N$5, $BO$9,
             IF(OR($F79=マスタ!$C$3, $F79=マスタ!$C$4, $F79=マスタ!$C$5),
                   IF($AQ79&gt;=1, $BM$9, $BN$9),
             IF(OR($F79=マスタ!$C$6, $F79=マスタ!$C$7, $F79=マスタ!$C$8),
                   IF($AK79&lt;5, IF($AQ79&gt;=1, $BM$9, $BN$9),
                         IF(OR($AQ79&gt;=1,
                                    AND(SUM($AL79,$AM79,$AP79,$AQ79)&gt;=$AK79*0.5, ($AM79+$AP79+$AQ79)&gt;=($AK79*0.2))),
                              $BM$9,$BN$9)))))))</f>
        <v/>
      </c>
      <c r="AT79" s="66"/>
      <c r="AU79" s="143"/>
      <c r="AV79" s="98" t="str" cm="1">
        <f t="array" aca="1" ref="AV79" ca="1">IF(AND($F79:$G79&lt;&gt;"", $I79:$K79&lt;&gt;"",
                 IF(OR($M79=$BM$9,$O79=$BM$9), TRUE, $L79&lt;&gt;""),
                 $M79&lt;&gt;"",$O79&lt;&gt;"",
                 IF($T79=$BM$9, TRUE, $Q79:$R79&lt;&gt;""),
                 IF(AND($BL79&lt;&gt;"", $BL79&lt;&gt;マスタ!$C$5, $BL79&lt;&gt;マスタ!$C$8), TRUE, $T79&lt;&gt;""),
                 IF(OR(AND($T79=$BM$9,  $Y79=$BO$9), $Y79=$BM$9), TRUE,$W79&lt;&gt;""),
                 IF(AND($BL79&lt;&gt;"", $BL79&lt;&gt;マスタ!$C$5, $BL79&lt;&gt;マスタ!$C$8), TRUE, $Y79&lt;&gt;""),
                 $AA79&lt;&gt;"",
                 IF($AA79=マスタ!$F$4, TRUE, $AB79&lt;&gt;""),
                 $AG79:$AO79&lt;&gt;"", $AQ79&lt;&gt;"", $AT79&lt;&gt;""),
        "（正常）入力済み", IF($C79= "", "（複数入力）未入力", "（エラー）一部未入力"))</f>
        <v>（複数入力）未入力</v>
      </c>
      <c r="AW79" s="98" t="str">
        <f t="shared" ca="1" si="6"/>
        <v/>
      </c>
      <c r="AX79" s="98" t="str">
        <f t="shared" ca="1" si="32"/>
        <v/>
      </c>
      <c r="AY79" s="98" t="str">
        <f t="shared" ca="1" si="33"/>
        <v/>
      </c>
      <c r="AZ79" s="98" t="str">
        <f t="shared" ca="1" si="34"/>
        <v/>
      </c>
      <c r="BA79" s="98" t="str">
        <f t="shared" ca="1" si="35"/>
        <v/>
      </c>
      <c r="BB79" s="98" t="str">
        <f t="shared" ca="1" si="36"/>
        <v/>
      </c>
      <c r="BC79" s="98" t="str">
        <f t="shared" ca="1" si="37"/>
        <v/>
      </c>
      <c r="BD79" s="98" t="str">
        <f t="shared" ca="1" si="38"/>
        <v/>
      </c>
      <c r="BE79" s="98" t="str">
        <f>IF($BL79="","",
   IF($T79=入力不可用2,
      IF(OR($BL79=マスタ!$C$5,$BL79=マスタ!$C$8), "未入力", "（正常）規定値"),
      IF(OR($BL79=マスタ!$C$5,$BL79=マスタ!$C$8), "（正常）規定値", "（エラー）値入力不可")))</f>
        <v/>
      </c>
      <c r="BF79" s="98" t="str">
        <f ca="1">IF($C79 = "", "",
       IF(AND(OR($BL79=マスタ!$C$5, $BL79=マスタ!$C$8), $T79 = ""), "未入力",
            IF(AND($Y79 = $BM$9, $T79 = $BO$9), "（エラー）「適合」のみ入力可", "（正常）規定値")))</f>
        <v/>
      </c>
      <c r="BG79" s="98" t="str">
        <f t="shared" ca="1" si="39"/>
        <v/>
      </c>
      <c r="BH79" s="98" t="str">
        <f t="shared" ca="1" si="40"/>
        <v/>
      </c>
      <c r="BI79" s="98" t="str">
        <f>IF($BL79="","",
   IF($Y79=入力不可用2,
      IF(OR($BL79=マスタ!$C$5,$BL79=マスタ!$C$8), "未入力", "（正常）規定値"),
      IF(OR($BL79=マスタ!$C$5,$BL79=マスタ!$C$8), "（正常）規定値", "（エラー）値入力不可")))</f>
        <v/>
      </c>
      <c r="BJ79" s="98" t="str">
        <f>IF($AA79="", "",
        IF($AA79=マスタ!$F$3,
             IF($AB79="", "未入力", "（正常）規定値"),
                  IF($AA79=マスタ!$F$4,
                       IF($AB79&lt;&gt;入力不可用2, "（エラー）値入力不可", "（正常）規定値"))))</f>
        <v/>
      </c>
      <c r="BL79" s="75" t="str">
        <f>IF(OR($F79 = マスタ!$C$5, F79 = マスタ!$C$8), $F79,
        IF(AND($F79 = マスタ!$C$3, 'その１事業者基本情報_入力シート（一部非公開）'!$U$16), $F79,
             IF(AND($F79 = マスタ!$C$4, 'その１事業者基本情報_入力シート（一部非公開）'!$S$16), $F79,
                  IF(AND(OR($F79 = マスタ!$C$6, $F79 = マスタ!$C$7),
                                'その１事業者基本情報_入力シート（一部非公開）'!$W$16), $F79,
                       IF(OR($F79 = マスタ!$C$3, $F79=マスタ!$C$4), マスタ!$C$5,
                            IF(OR($F79 = マスタ!$C$6, $F79 = マスタ!$C$7), マスタ!$C$8, ""))))))</f>
        <v/>
      </c>
      <c r="BM79" s="75" t="str">
        <f>IF($L79&lt;&gt;"", $L79,
       IF($M79 = マスタ!$B$3,
          IF(OR($F79=マスタ!$C$3,$F79=マスタ!$C$4,$F79=マスタ!$C$5),
            IF(OR($G79 = マスタ!$D$54, $G79 = マスタ!$D$55), 0.75, 0.87),
            IF(OR($G79 = マスタ!$D$54, $G79 = マスタ!$D$55), 0.62, 0.72)),
                 IF(ISBLANK($L79), "", $L79)))</f>
        <v/>
      </c>
      <c r="BN79" s="99" t="str">
        <f>IF($L79&lt;&gt;"", $L79,
        IF($O79 = マスタ!$B$3,
          IF(OR($F79=マスタ!$C$3,$F79=マスタ!$C$4,$F79=マスタ!$C$5), 0.6, 0.5),
             IF(ISBLANK($L79), "", $L79)))</f>
        <v/>
      </c>
      <c r="BO79" s="99" t="str">
        <f>IF($T79&lt;&gt;マスタ!$B$3,
        IF(ISBLANK($S79),"",$S79),
             IF($BL79=マスタ!$C$3,0.8,
             IF($BL79=マスタ!$C$4,0.85,
             IF($BL79=マスタ!$C$6,0.9,
             IF($BL79=マスタ!$C$7,0.9,
             IF($BL79=マスタ!$C$5,1,
             IF($BL79=マスタ!$C$8,1,"無効な入力")))))))</f>
        <v/>
      </c>
      <c r="BP79" s="99" t="str">
        <f>IF($Y79&lt;&gt;マスタ!$B$3,
   IF(ISBLANK($X79), "", $X79),
   IF($BL79=マスタ!$C$3, 0.75,
      IF($BL79=マスタ!$C$4, 0.8,
         IF($BL79=マスタ!$C$6, 0.8,
            IF($BL79=マスタ!$C$7, 0.8,
               IF($BL79=マスタ!$C$5, 0.8,
                  IF($BL79=マスタ!$C$8, 0.8, "無効な入力")))))))</f>
        <v/>
      </c>
      <c r="BQ79" s="75"/>
      <c r="BR79" s="75"/>
      <c r="BS79" s="75"/>
      <c r="BT79" s="75"/>
      <c r="BU79" s="75"/>
      <c r="BV79" s="75"/>
      <c r="BW79" s="75"/>
      <c r="BX79" s="75"/>
      <c r="BY79" s="75"/>
    </row>
    <row r="80" spans="3:77" ht="30.75" customHeight="1">
      <c r="C80" s="69" t="str" cm="1">
        <f t="array" aca="1" ref="C80" ca="1">IF(SUMPRODUCT(--($D80:$AU80 &lt;&gt; "")),RIGHT(YEAR(TODAY()),2)&amp;"01"&amp;REPT("0",4-LEN(ROW()-11))&amp;ROW()-11,"")</f>
        <v/>
      </c>
      <c r="D80" s="141"/>
      <c r="E80" s="142"/>
      <c r="F80" s="71"/>
      <c r="G80" s="66"/>
      <c r="H80" s="41" t="str">
        <f>IFERROR(VLOOKUP(G80,マスタ!$D$3:$E$55,2,FALSE),"")</f>
        <v/>
      </c>
      <c r="I80" s="93"/>
      <c r="J80" s="77"/>
      <c r="K80" s="66"/>
      <c r="L80" s="103"/>
      <c r="M80" s="71"/>
      <c r="N80" s="101" t="str">
        <f>IF($M80 = $BM$9, $BM$9,
        IF($L80 = "", "",
              IF(OR(
                          AND(OR($G80 = マスタ!$D$54, $G80 = マスタ!$D$55), $L80 &lt;= $BP$9),
                          AND($G80 &lt;&gt; マスタ!$D$54, $G80 &lt;&gt; マスタ!$D$55, $L80 &lt;= $BQ$9)
                         ), $BM$9, $BN$9)))</f>
        <v/>
      </c>
      <c r="O80" s="71"/>
      <c r="P80" s="101" t="str">
        <f t="shared" si="31"/>
        <v/>
      </c>
      <c r="Q80" s="124"/>
      <c r="R80" s="124"/>
      <c r="S80" s="112" t="str">
        <f t="shared" si="19"/>
        <v/>
      </c>
      <c r="T80" s="71"/>
      <c r="U80" s="41" t="str">
        <f>IF($T80=$BM$9, $BM$9,
        IF($S80="", "",
             IF(OR(AND($BL80=マスタ!$C$3, $S80&lt;=$BS$9),
                        AND($BL80=マスタ!$C$4, $S80&lt;=$BT$9),
                        AND(OR($BL80=マスタ!$C$6, $BL80=マスタ!$C$7), $S80&lt;=$BU$9),
                        AND(OR($BL80=マスタ!$C$5, $BL80=マスタ!$C$8), $S80&lt;=$BV$9)),
                  $BM$9, $BN$9)))</f>
        <v/>
      </c>
      <c r="V80" s="129" t="str">
        <f t="shared" si="16"/>
        <v/>
      </c>
      <c r="W80" s="124"/>
      <c r="X80" s="112" t="str">
        <f t="shared" si="20"/>
        <v/>
      </c>
      <c r="Y80" s="71"/>
      <c r="Z80" s="41" t="str">
        <f>IF($Y80=$BM$9, $BM$9,
        IF(AND($T80 = $BM$9, $Y80 = $BO$9), $BN$9,
             IF($BL80=マスタ!$C$3,
                  IF($X80&lt;=$BW$9, $BM$9,$BN$9),
                       IF(OR($BL80=マスタ!$C$4, $BL80=マスタ!$C$5, $BL80=マスタ!$C$6, $BL80=マスタ!$C$7, $BL80=マスタ!$C$8),
                            IF($X80&lt;=$BX$9, $BM$9,$BN$9), ""))))</f>
        <v/>
      </c>
      <c r="AA80" s="71"/>
      <c r="AB80" s="71"/>
      <c r="AC80" s="71"/>
      <c r="AD80" s="165"/>
      <c r="AE80" s="71"/>
      <c r="AF80" s="165"/>
      <c r="AG80" s="92"/>
      <c r="AH80" s="92"/>
      <c r="AI80" s="92"/>
      <c r="AJ80" s="92"/>
      <c r="AK80" s="121"/>
      <c r="AL80" s="121"/>
      <c r="AM80" s="121"/>
      <c r="AN80" s="121"/>
      <c r="AO80" s="92"/>
      <c r="AP80" s="130" t="str">
        <f t="shared" si="5"/>
        <v/>
      </c>
      <c r="AQ80" s="121"/>
      <c r="AR80" s="101" t="str">
        <f>IF(OR(SUMPRODUCT(--(AJ80:AQ80&lt;&gt;""))&lt;7,AND($AJ80=マスタ!$N$3,$AK80="")), "",
        IF($AJ80=マスタ!$N$5, $BO$9,
              IF(OR($F80=マスタ!$C$3, $F80=マスタ!$C$4, $F80=マスタ!$C$5),
                    IF(SUM($AL80,$AM80,$AP80,$AQ80)&gt;=1, $BM$9, $BN$9),
              IF(OR($F80=マスタ!$C$6, $F80=マスタ!$C$7, $F80=マスタ!$C$8),
                    IF($AK80&lt;10, $BO$9,
                          IF(AND(SUM($AL80,$AM80,$AP80,$AQ80)&gt;=($AK80*0.2), $AM80+$AP80+$AQ80&gt;=1),
                               $BM$9,$BN$9))))))</f>
        <v/>
      </c>
      <c r="AS80" s="101" t="str">
        <f>IF(OR(SUMPRODUCT(--(AJ80:AQ80&lt;&gt;""))&lt;7,AND($AJ80=マスタ!$N$3,$AK80="")), "",
     IF($AR80=$BN$9,$BN$9,
        IF($AJ80=マスタ!$N$5, $BO$9,
             IF(OR($F80=マスタ!$C$3, $F80=マスタ!$C$4, $F80=マスタ!$C$5),
                   IF($AQ80&gt;=1, $BM$9, $BN$9),
             IF(OR($F80=マスタ!$C$6, $F80=マスタ!$C$7, $F80=マスタ!$C$8),
                   IF($AK80&lt;5, IF($AQ80&gt;=1, $BM$9, $BN$9),
                         IF(OR($AQ80&gt;=1,
                                    AND(SUM($AL80,$AM80,$AP80,$AQ80)&gt;=$AK80*0.5, ($AM80+$AP80+$AQ80)&gt;=($AK80*0.2))),
                              $BM$9,$BN$9)))))))</f>
        <v/>
      </c>
      <c r="AT80" s="66"/>
      <c r="AU80" s="143"/>
      <c r="AV80" s="98" t="str" cm="1">
        <f t="array" aca="1" ref="AV80" ca="1">IF(AND($F80:$G80&lt;&gt;"", $I80:$K80&lt;&gt;"",
                 IF(OR($M80=$BM$9,$O80=$BM$9), TRUE, $L80&lt;&gt;""),
                 $M80&lt;&gt;"",$O80&lt;&gt;"",
                 IF($T80=$BM$9, TRUE, $Q80:$R80&lt;&gt;""),
                 IF(AND($BL80&lt;&gt;"", $BL80&lt;&gt;マスタ!$C$5, $BL80&lt;&gt;マスタ!$C$8), TRUE, $T80&lt;&gt;""),
                 IF(OR(AND($T80=$BM$9,  $Y80=$BO$9), $Y80=$BM$9), TRUE,$W80&lt;&gt;""),
                 IF(AND($BL80&lt;&gt;"", $BL80&lt;&gt;マスタ!$C$5, $BL80&lt;&gt;マスタ!$C$8), TRUE, $Y80&lt;&gt;""),
                 $AA80&lt;&gt;"",
                 IF($AA80=マスタ!$F$4, TRUE, $AB80&lt;&gt;""),
                 $AG80:$AO80&lt;&gt;"", $AQ80&lt;&gt;"", $AT80&lt;&gt;""),
        "（正常）入力済み", IF($C80= "", "（複数入力）未入力", "（エラー）一部未入力"))</f>
        <v>（複数入力）未入力</v>
      </c>
      <c r="AW80" s="98" t="str">
        <f t="shared" ca="1" si="6"/>
        <v/>
      </c>
      <c r="AX80" s="98" t="str">
        <f t="shared" ca="1" si="32"/>
        <v/>
      </c>
      <c r="AY80" s="98" t="str">
        <f t="shared" ca="1" si="33"/>
        <v/>
      </c>
      <c r="AZ80" s="98" t="str">
        <f t="shared" ca="1" si="34"/>
        <v/>
      </c>
      <c r="BA80" s="98" t="str">
        <f t="shared" ca="1" si="35"/>
        <v/>
      </c>
      <c r="BB80" s="98" t="str">
        <f t="shared" ca="1" si="36"/>
        <v/>
      </c>
      <c r="BC80" s="98" t="str">
        <f t="shared" ca="1" si="37"/>
        <v/>
      </c>
      <c r="BD80" s="98" t="str">
        <f t="shared" ca="1" si="38"/>
        <v/>
      </c>
      <c r="BE80" s="98" t="str">
        <f>IF($BL80="","",
   IF($T80=入力不可用2,
      IF(OR($BL80=マスタ!$C$5,$BL80=マスタ!$C$8), "未入力", "（正常）規定値"),
      IF(OR($BL80=マスタ!$C$5,$BL80=マスタ!$C$8), "（正常）規定値", "（エラー）値入力不可")))</f>
        <v/>
      </c>
      <c r="BF80" s="98" t="str">
        <f ca="1">IF($C80 = "", "",
       IF(AND(OR($BL80=マスタ!$C$5, $BL80=マスタ!$C$8), $T80 = ""), "未入力",
            IF(AND($Y80 = $BM$9, $T80 = $BO$9), "（エラー）「適合」のみ入力可", "（正常）規定値")))</f>
        <v/>
      </c>
      <c r="BG80" s="98" t="str">
        <f t="shared" ca="1" si="39"/>
        <v/>
      </c>
      <c r="BH80" s="98" t="str">
        <f t="shared" ca="1" si="40"/>
        <v/>
      </c>
      <c r="BI80" s="98" t="str">
        <f>IF($BL80="","",
   IF($Y80=入力不可用2,
      IF(OR($BL80=マスタ!$C$5,$BL80=マスタ!$C$8), "未入力", "（正常）規定値"),
      IF(OR($BL80=マスタ!$C$5,$BL80=マスタ!$C$8), "（正常）規定値", "（エラー）値入力不可")))</f>
        <v/>
      </c>
      <c r="BJ80" s="98" t="str">
        <f>IF($AA80="", "",
        IF($AA80=マスタ!$F$3,
             IF($AB80="", "未入力", "（正常）規定値"),
                  IF($AA80=マスタ!$F$4,
                       IF($AB80&lt;&gt;入力不可用2, "（エラー）値入力不可", "（正常）規定値"))))</f>
        <v/>
      </c>
      <c r="BL80" s="75" t="str">
        <f>IF(OR($F80 = マスタ!$C$5, F80 = マスタ!$C$8), $F80,
        IF(AND($F80 = マスタ!$C$3, 'その１事業者基本情報_入力シート（一部非公開）'!$U$16), $F80,
             IF(AND($F80 = マスタ!$C$4, 'その１事業者基本情報_入力シート（一部非公開）'!$S$16), $F80,
                  IF(AND(OR($F80 = マスタ!$C$6, $F80 = マスタ!$C$7),
                                'その１事業者基本情報_入力シート（一部非公開）'!$W$16), $F80,
                       IF(OR($F80 = マスタ!$C$3, $F80=マスタ!$C$4), マスタ!$C$5,
                            IF(OR($F80 = マスタ!$C$6, $F80 = マスタ!$C$7), マスタ!$C$8, ""))))))</f>
        <v/>
      </c>
      <c r="BM80" s="75" t="str">
        <f>IF($L80&lt;&gt;"", $L80,
       IF($M80 = マスタ!$B$3,
          IF(OR($F80=マスタ!$C$3,$F80=マスタ!$C$4,$F80=マスタ!$C$5),
            IF(OR($G80 = マスタ!$D$54, $G80 = マスタ!$D$55), 0.75, 0.87),
            IF(OR($G80 = マスタ!$D$54, $G80 = マスタ!$D$55), 0.62, 0.72)),
                 IF(ISBLANK($L80), "", $L80)))</f>
        <v/>
      </c>
      <c r="BN80" s="99" t="str">
        <f>IF($L80&lt;&gt;"", $L80,
        IF($O80 = マスタ!$B$3,
          IF(OR($F80=マスタ!$C$3,$F80=マスタ!$C$4,$F80=マスタ!$C$5), 0.6, 0.5),
             IF(ISBLANK($L80), "", $L80)))</f>
        <v/>
      </c>
      <c r="BO80" s="99" t="str">
        <f>IF($T80&lt;&gt;マスタ!$B$3,
        IF(ISBLANK($S80),"",$S80),
             IF($BL80=マスタ!$C$3,0.8,
             IF($BL80=マスタ!$C$4,0.85,
             IF($BL80=マスタ!$C$6,0.9,
             IF($BL80=マスタ!$C$7,0.9,
             IF($BL80=マスタ!$C$5,1,
             IF($BL80=マスタ!$C$8,1,"無効な入力")))))))</f>
        <v/>
      </c>
      <c r="BP80" s="99" t="str">
        <f>IF($Y80&lt;&gt;マスタ!$B$3,
   IF(ISBLANK($X80), "", $X80),
   IF($BL80=マスタ!$C$3, 0.75,
      IF($BL80=マスタ!$C$4, 0.8,
         IF($BL80=マスタ!$C$6, 0.8,
            IF($BL80=マスタ!$C$7, 0.8,
               IF($BL80=マスタ!$C$5, 0.8,
                  IF($BL80=マスタ!$C$8, 0.8, "無効な入力")))))))</f>
        <v/>
      </c>
      <c r="BQ80" s="75"/>
      <c r="BR80" s="75"/>
      <c r="BS80" s="75"/>
      <c r="BT80" s="75"/>
      <c r="BU80" s="75"/>
      <c r="BV80" s="75"/>
      <c r="BW80" s="75"/>
      <c r="BX80" s="75"/>
      <c r="BY80" s="75"/>
    </row>
    <row r="81" spans="3:77" ht="30.75" customHeight="1">
      <c r="C81" s="69" t="str" cm="1">
        <f t="array" aca="1" ref="C81" ca="1">IF(SUMPRODUCT(--($D81:$AU81 &lt;&gt; "")),RIGHT(YEAR(TODAY()),2)&amp;"01"&amp;REPT("0",4-LEN(ROW()-11))&amp;ROW()-11,"")</f>
        <v/>
      </c>
      <c r="D81" s="141"/>
      <c r="E81" s="142"/>
      <c r="F81" s="71"/>
      <c r="G81" s="66"/>
      <c r="H81" s="41" t="str">
        <f>IFERROR(VLOOKUP(G81,マスタ!$D$3:$E$55,2,FALSE),"")</f>
        <v/>
      </c>
      <c r="I81" s="93"/>
      <c r="J81" s="77"/>
      <c r="K81" s="66"/>
      <c r="L81" s="103"/>
      <c r="M81" s="71"/>
      <c r="N81" s="101" t="str">
        <f>IF($M81 = $BM$9, $BM$9,
        IF($L81 = "", "",
              IF(OR(
                          AND(OR($G81 = マスタ!$D$54, $G81 = マスタ!$D$55), $L81 &lt;= $BP$9),
                          AND($G81 &lt;&gt; マスタ!$D$54, $G81 &lt;&gt; マスタ!$D$55, $L81 &lt;= $BQ$9)
                         ), $BM$9, $BN$9)))</f>
        <v/>
      </c>
      <c r="O81" s="71"/>
      <c r="P81" s="101" t="str">
        <f t="shared" si="31"/>
        <v/>
      </c>
      <c r="Q81" s="124"/>
      <c r="R81" s="124"/>
      <c r="S81" s="112" t="str">
        <f t="shared" si="19"/>
        <v/>
      </c>
      <c r="T81" s="71"/>
      <c r="U81" s="41" t="str">
        <f>IF($T81=$BM$9, $BM$9,
        IF($S81="", "",
             IF(OR(AND($BL81=マスタ!$C$3, $S81&lt;=$BS$9),
                        AND($BL81=マスタ!$C$4, $S81&lt;=$BT$9),
                        AND(OR($BL81=マスタ!$C$6, $BL81=マスタ!$C$7), $S81&lt;=$BU$9),
                        AND(OR($BL81=マスタ!$C$5, $BL81=マスタ!$C$8), $S81&lt;=$BV$9)),
                  $BM$9, $BN$9)))</f>
        <v/>
      </c>
      <c r="V81" s="129" t="str">
        <f t="shared" si="16"/>
        <v/>
      </c>
      <c r="W81" s="124"/>
      <c r="X81" s="112" t="str">
        <f t="shared" si="20"/>
        <v/>
      </c>
      <c r="Y81" s="71"/>
      <c r="Z81" s="41" t="str">
        <f>IF($Y81=$BM$9, $BM$9,
        IF(AND($T81 = $BM$9, $Y81 = $BO$9), $BN$9,
             IF($BL81=マスタ!$C$3,
                  IF($X81&lt;=$BW$9, $BM$9,$BN$9),
                       IF(OR($BL81=マスタ!$C$4, $BL81=マスタ!$C$5, $BL81=マスタ!$C$6, $BL81=マスタ!$C$7, $BL81=マスタ!$C$8),
                            IF($X81&lt;=$BX$9, $BM$9,$BN$9), ""))))</f>
        <v/>
      </c>
      <c r="AA81" s="71"/>
      <c r="AB81" s="71"/>
      <c r="AC81" s="71"/>
      <c r="AD81" s="165"/>
      <c r="AE81" s="71"/>
      <c r="AF81" s="165"/>
      <c r="AG81" s="92"/>
      <c r="AH81" s="92"/>
      <c r="AI81" s="92"/>
      <c r="AJ81" s="92"/>
      <c r="AK81" s="121"/>
      <c r="AL81" s="121"/>
      <c r="AM81" s="121"/>
      <c r="AN81" s="121"/>
      <c r="AO81" s="92"/>
      <c r="AP81" s="130" t="str">
        <f t="shared" si="5"/>
        <v/>
      </c>
      <c r="AQ81" s="121"/>
      <c r="AR81" s="101" t="str">
        <f>IF(OR(SUMPRODUCT(--(AJ81:AQ81&lt;&gt;""))&lt;7,AND($AJ81=マスタ!$N$3,$AK81="")), "",
        IF($AJ81=マスタ!$N$5, $BO$9,
              IF(OR($F81=マスタ!$C$3, $F81=マスタ!$C$4, $F81=マスタ!$C$5),
                    IF(SUM($AL81,$AM81,$AP81,$AQ81)&gt;=1, $BM$9, $BN$9),
              IF(OR($F81=マスタ!$C$6, $F81=マスタ!$C$7, $F81=マスタ!$C$8),
                    IF($AK81&lt;10, $BO$9,
                          IF(AND(SUM($AL81,$AM81,$AP81,$AQ81)&gt;=($AK81*0.2), $AM81+$AP81+$AQ81&gt;=1),
                               $BM$9,$BN$9))))))</f>
        <v/>
      </c>
      <c r="AS81" s="101" t="str">
        <f>IF(OR(SUMPRODUCT(--(AJ81:AQ81&lt;&gt;""))&lt;7,AND($AJ81=マスタ!$N$3,$AK81="")), "",
     IF($AR81=$BN$9,$BN$9,
        IF($AJ81=マスタ!$N$5, $BO$9,
             IF(OR($F81=マスタ!$C$3, $F81=マスタ!$C$4, $F81=マスタ!$C$5),
                   IF($AQ81&gt;=1, $BM$9, $BN$9),
             IF(OR($F81=マスタ!$C$6, $F81=マスタ!$C$7, $F81=マスタ!$C$8),
                   IF($AK81&lt;5, IF($AQ81&gt;=1, $BM$9, $BN$9),
                         IF(OR($AQ81&gt;=1,
                                    AND(SUM($AL81,$AM81,$AP81,$AQ81)&gt;=$AK81*0.5, ($AM81+$AP81+$AQ81)&gt;=($AK81*0.2))),
                              $BM$9,$BN$9)))))))</f>
        <v/>
      </c>
      <c r="AT81" s="66"/>
      <c r="AU81" s="143"/>
      <c r="AV81" s="98" t="str" cm="1">
        <f t="array" aca="1" ref="AV81" ca="1">IF(AND($F81:$G81&lt;&gt;"", $I81:$K81&lt;&gt;"",
                 IF(OR($M81=$BM$9,$O81=$BM$9), TRUE, $L81&lt;&gt;""),
                 $M81&lt;&gt;"",$O81&lt;&gt;"",
                 IF($T81=$BM$9, TRUE, $Q81:$R81&lt;&gt;""),
                 IF(AND($BL81&lt;&gt;"", $BL81&lt;&gt;マスタ!$C$5, $BL81&lt;&gt;マスタ!$C$8), TRUE, $T81&lt;&gt;""),
                 IF(OR(AND($T81=$BM$9,  $Y81=$BO$9), $Y81=$BM$9), TRUE,$W81&lt;&gt;""),
                 IF(AND($BL81&lt;&gt;"", $BL81&lt;&gt;マスタ!$C$5, $BL81&lt;&gt;マスタ!$C$8), TRUE, $Y81&lt;&gt;""),
                 $AA81&lt;&gt;"",
                 IF($AA81=マスタ!$F$4, TRUE, $AB81&lt;&gt;""),
                 $AG81:$AO81&lt;&gt;"", $AQ81&lt;&gt;"", $AT81&lt;&gt;""),
        "（正常）入力済み", IF($C81= "", "（複数入力）未入力", "（エラー）一部未入力"))</f>
        <v>（複数入力）未入力</v>
      </c>
      <c r="AW81" s="98" t="str">
        <f t="shared" ca="1" si="6"/>
        <v/>
      </c>
      <c r="AX81" s="98" t="str">
        <f t="shared" ca="1" si="32"/>
        <v/>
      </c>
      <c r="AY81" s="98" t="str">
        <f t="shared" ca="1" si="33"/>
        <v/>
      </c>
      <c r="AZ81" s="98" t="str">
        <f t="shared" ca="1" si="34"/>
        <v/>
      </c>
      <c r="BA81" s="98" t="str">
        <f t="shared" ca="1" si="35"/>
        <v/>
      </c>
      <c r="BB81" s="98" t="str">
        <f t="shared" ca="1" si="36"/>
        <v/>
      </c>
      <c r="BC81" s="98" t="str">
        <f t="shared" ca="1" si="37"/>
        <v/>
      </c>
      <c r="BD81" s="98" t="str">
        <f t="shared" ca="1" si="38"/>
        <v/>
      </c>
      <c r="BE81" s="98" t="str">
        <f>IF($BL81="","",
   IF($T81=入力不可用2,
      IF(OR($BL81=マスタ!$C$5,$BL81=マスタ!$C$8), "未入力", "（正常）規定値"),
      IF(OR($BL81=マスタ!$C$5,$BL81=マスタ!$C$8), "（正常）規定値", "（エラー）値入力不可")))</f>
        <v/>
      </c>
      <c r="BF81" s="98" t="str">
        <f ca="1">IF($C81 = "", "",
       IF(AND(OR($BL81=マスタ!$C$5, $BL81=マスタ!$C$8), $T81 = ""), "未入力",
            IF(AND($Y81 = $BM$9, $T81 = $BO$9), "（エラー）「適合」のみ入力可", "（正常）規定値")))</f>
        <v/>
      </c>
      <c r="BG81" s="98" t="str">
        <f t="shared" ca="1" si="39"/>
        <v/>
      </c>
      <c r="BH81" s="98" t="str">
        <f t="shared" ca="1" si="40"/>
        <v/>
      </c>
      <c r="BI81" s="98" t="str">
        <f>IF($BL81="","",
   IF($Y81=入力不可用2,
      IF(OR($BL81=マスタ!$C$5,$BL81=マスタ!$C$8), "未入力", "（正常）規定値"),
      IF(OR($BL81=マスタ!$C$5,$BL81=マスタ!$C$8), "（正常）規定値", "（エラー）値入力不可")))</f>
        <v/>
      </c>
      <c r="BJ81" s="98" t="str">
        <f>IF($AA81="", "",
        IF($AA81=マスタ!$F$3,
             IF($AB81="", "未入力", "（正常）規定値"),
                  IF($AA81=マスタ!$F$4,
                       IF($AB81&lt;&gt;入力不可用2, "（エラー）値入力不可", "（正常）規定値"))))</f>
        <v/>
      </c>
      <c r="BL81" s="75" t="str">
        <f>IF(OR($F81 = マスタ!$C$5, F81 = マスタ!$C$8), $F81,
        IF(AND($F81 = マスタ!$C$3, 'その１事業者基本情報_入力シート（一部非公開）'!$U$16), $F81,
             IF(AND($F81 = マスタ!$C$4, 'その１事業者基本情報_入力シート（一部非公開）'!$S$16), $F81,
                  IF(AND(OR($F81 = マスタ!$C$6, $F81 = マスタ!$C$7),
                                'その１事業者基本情報_入力シート（一部非公開）'!$W$16), $F81,
                       IF(OR($F81 = マスタ!$C$3, $F81=マスタ!$C$4), マスタ!$C$5,
                            IF(OR($F81 = マスタ!$C$6, $F81 = マスタ!$C$7), マスタ!$C$8, ""))))))</f>
        <v/>
      </c>
      <c r="BM81" s="75" t="str">
        <f>IF($L81&lt;&gt;"", $L81,
       IF($M81 = マスタ!$B$3,
          IF(OR($F81=マスタ!$C$3,$F81=マスタ!$C$4,$F81=マスタ!$C$5),
            IF(OR($G81 = マスタ!$D$54, $G81 = マスタ!$D$55), 0.75, 0.87),
            IF(OR($G81 = マスタ!$D$54, $G81 = マスタ!$D$55), 0.62, 0.72)),
                 IF(ISBLANK($L81), "", $L81)))</f>
        <v/>
      </c>
      <c r="BN81" s="99" t="str">
        <f>IF($L81&lt;&gt;"", $L81,
        IF($O81 = マスタ!$B$3,
          IF(OR($F81=マスタ!$C$3,$F81=マスタ!$C$4,$F81=マスタ!$C$5), 0.6, 0.5),
             IF(ISBLANK($L81), "", $L81)))</f>
        <v/>
      </c>
      <c r="BO81" s="99" t="str">
        <f>IF($T81&lt;&gt;マスタ!$B$3,
        IF(ISBLANK($S81),"",$S81),
             IF($BL81=マスタ!$C$3,0.8,
             IF($BL81=マスタ!$C$4,0.85,
             IF($BL81=マスタ!$C$6,0.9,
             IF($BL81=マスタ!$C$7,0.9,
             IF($BL81=マスタ!$C$5,1,
             IF($BL81=マスタ!$C$8,1,"無効な入力")))))))</f>
        <v/>
      </c>
      <c r="BP81" s="99" t="str">
        <f>IF($Y81&lt;&gt;マスタ!$B$3,
   IF(ISBLANK($X81), "", $X81),
   IF($BL81=マスタ!$C$3, 0.75,
      IF($BL81=マスタ!$C$4, 0.8,
         IF($BL81=マスタ!$C$6, 0.8,
            IF($BL81=マスタ!$C$7, 0.8,
               IF($BL81=マスタ!$C$5, 0.8,
                  IF($BL81=マスタ!$C$8, 0.8, "無効な入力")))))))</f>
        <v/>
      </c>
      <c r="BQ81" s="75"/>
      <c r="BR81" s="75"/>
      <c r="BS81" s="75"/>
      <c r="BT81" s="75"/>
      <c r="BU81" s="75"/>
      <c r="BV81" s="75"/>
      <c r="BW81" s="75"/>
      <c r="BX81" s="75"/>
      <c r="BY81" s="75"/>
    </row>
    <row r="82" spans="3:77" ht="30.75" customHeight="1">
      <c r="C82" s="69" t="str" cm="1">
        <f t="array" aca="1" ref="C82" ca="1">IF(SUMPRODUCT(--($D82:$AU82 &lt;&gt; "")),RIGHT(YEAR(TODAY()),2)&amp;"01"&amp;REPT("0",4-LEN(ROW()-11))&amp;ROW()-11,"")</f>
        <v/>
      </c>
      <c r="D82" s="141"/>
      <c r="E82" s="142"/>
      <c r="F82" s="71"/>
      <c r="G82" s="66"/>
      <c r="H82" s="41" t="str">
        <f>IFERROR(VLOOKUP(G82,マスタ!$D$3:$E$55,2,FALSE),"")</f>
        <v/>
      </c>
      <c r="I82" s="93"/>
      <c r="J82" s="77"/>
      <c r="K82" s="66"/>
      <c r="L82" s="103"/>
      <c r="M82" s="71"/>
      <c r="N82" s="101" t="str">
        <f>IF($M82 = $BM$9, $BM$9,
        IF($L82 = "", "",
              IF(OR(
                          AND(OR($G82 = マスタ!$D$54, $G82 = マスタ!$D$55), $L82 &lt;= $BP$9),
                          AND($G82 &lt;&gt; マスタ!$D$54, $G82 &lt;&gt; マスタ!$D$55, $L82 &lt;= $BQ$9)
                         ), $BM$9, $BN$9)))</f>
        <v/>
      </c>
      <c r="O82" s="71"/>
      <c r="P82" s="101" t="str">
        <f t="shared" si="31"/>
        <v/>
      </c>
      <c r="Q82" s="124"/>
      <c r="R82" s="124"/>
      <c r="S82" s="112" t="str">
        <f t="shared" si="19"/>
        <v/>
      </c>
      <c r="T82" s="71"/>
      <c r="U82" s="41" t="str">
        <f>IF($T82=$BM$9, $BM$9,
        IF($S82="", "",
             IF(OR(AND($BL82=マスタ!$C$3, $S82&lt;=$BS$9),
                        AND($BL82=マスタ!$C$4, $S82&lt;=$BT$9),
                        AND(OR($BL82=マスタ!$C$6, $BL82=マスタ!$C$7), $S82&lt;=$BU$9),
                        AND(OR($BL82=マスタ!$C$5, $BL82=マスタ!$C$8), $S82&lt;=$BV$9)),
                  $BM$9, $BN$9)))</f>
        <v/>
      </c>
      <c r="V82" s="129" t="str">
        <f t="shared" si="16"/>
        <v/>
      </c>
      <c r="W82" s="124"/>
      <c r="X82" s="112" t="str">
        <f t="shared" si="20"/>
        <v/>
      </c>
      <c r="Y82" s="71"/>
      <c r="Z82" s="41" t="str">
        <f>IF($Y82=$BM$9, $BM$9,
        IF(AND($T82 = $BM$9, $Y82 = $BO$9), $BN$9,
             IF($BL82=マスタ!$C$3,
                  IF($X82&lt;=$BW$9, $BM$9,$BN$9),
                       IF(OR($BL82=マスタ!$C$4, $BL82=マスタ!$C$5, $BL82=マスタ!$C$6, $BL82=マスタ!$C$7, $BL82=マスタ!$C$8),
                            IF($X82&lt;=$BX$9, $BM$9,$BN$9), ""))))</f>
        <v/>
      </c>
      <c r="AA82" s="71"/>
      <c r="AB82" s="71"/>
      <c r="AC82" s="71"/>
      <c r="AD82" s="165"/>
      <c r="AE82" s="71"/>
      <c r="AF82" s="165"/>
      <c r="AG82" s="92"/>
      <c r="AH82" s="92"/>
      <c r="AI82" s="92"/>
      <c r="AJ82" s="92"/>
      <c r="AK82" s="121"/>
      <c r="AL82" s="121"/>
      <c r="AM82" s="121"/>
      <c r="AN82" s="121"/>
      <c r="AO82" s="92"/>
      <c r="AP82" s="130" t="str">
        <f t="shared" si="5"/>
        <v/>
      </c>
      <c r="AQ82" s="121"/>
      <c r="AR82" s="101" t="str">
        <f>IF(OR(SUMPRODUCT(--(AJ82:AQ82&lt;&gt;""))&lt;7,AND($AJ82=マスタ!$N$3,$AK82="")), "",
        IF($AJ82=マスタ!$N$5, $BO$9,
              IF(OR($F82=マスタ!$C$3, $F82=マスタ!$C$4, $F82=マスタ!$C$5),
                    IF(SUM($AL82,$AM82,$AP82,$AQ82)&gt;=1, $BM$9, $BN$9),
              IF(OR($F82=マスタ!$C$6, $F82=マスタ!$C$7, $F82=マスタ!$C$8),
                    IF($AK82&lt;10, $BO$9,
                          IF(AND(SUM($AL82,$AM82,$AP82,$AQ82)&gt;=($AK82*0.2), $AM82+$AP82+$AQ82&gt;=1),
                               $BM$9,$BN$9))))))</f>
        <v/>
      </c>
      <c r="AS82" s="101" t="str">
        <f>IF(OR(SUMPRODUCT(--(AJ82:AQ82&lt;&gt;""))&lt;7,AND($AJ82=マスタ!$N$3,$AK82="")), "",
     IF($AR82=$BN$9,$BN$9,
        IF($AJ82=マスタ!$N$5, $BO$9,
             IF(OR($F82=マスタ!$C$3, $F82=マスタ!$C$4, $F82=マスタ!$C$5),
                   IF($AQ82&gt;=1, $BM$9, $BN$9),
             IF(OR($F82=マスタ!$C$6, $F82=マスタ!$C$7, $F82=マスタ!$C$8),
                   IF($AK82&lt;5, IF($AQ82&gt;=1, $BM$9, $BN$9),
                         IF(OR($AQ82&gt;=1,
                                    AND(SUM($AL82,$AM82,$AP82,$AQ82)&gt;=$AK82*0.5, ($AM82+$AP82+$AQ82)&gt;=($AK82*0.2))),
                              $BM$9,$BN$9)))))))</f>
        <v/>
      </c>
      <c r="AT82" s="66"/>
      <c r="AU82" s="143"/>
      <c r="AV82" s="98" t="str" cm="1">
        <f t="array" aca="1" ref="AV82" ca="1">IF(AND($F82:$G82&lt;&gt;"", $I82:$K82&lt;&gt;"",
                 IF(OR($M82=$BM$9,$O82=$BM$9), TRUE, $L82&lt;&gt;""),
                 $M82&lt;&gt;"",$O82&lt;&gt;"",
                 IF($T82=$BM$9, TRUE, $Q82:$R82&lt;&gt;""),
                 IF(AND($BL82&lt;&gt;"", $BL82&lt;&gt;マスタ!$C$5, $BL82&lt;&gt;マスタ!$C$8), TRUE, $T82&lt;&gt;""),
                 IF(OR(AND($T82=$BM$9,  $Y82=$BO$9), $Y82=$BM$9), TRUE,$W82&lt;&gt;""),
                 IF(AND($BL82&lt;&gt;"", $BL82&lt;&gt;マスタ!$C$5, $BL82&lt;&gt;マスタ!$C$8), TRUE, $Y82&lt;&gt;""),
                 $AA82&lt;&gt;"",
                 IF($AA82=マスタ!$F$4, TRUE, $AB82&lt;&gt;""),
                 $AG82:$AO82&lt;&gt;"", $AQ82&lt;&gt;"", $AT82&lt;&gt;""),
        "（正常）入力済み", IF($C82= "", "（複数入力）未入力", "（エラー）一部未入力"))</f>
        <v>（複数入力）未入力</v>
      </c>
      <c r="AW82" s="98" t="str">
        <f t="shared" ca="1" si="6"/>
        <v/>
      </c>
      <c r="AX82" s="98" t="str">
        <f t="shared" ca="1" si="32"/>
        <v/>
      </c>
      <c r="AY82" s="98" t="str">
        <f t="shared" ca="1" si="33"/>
        <v/>
      </c>
      <c r="AZ82" s="98" t="str">
        <f t="shared" ca="1" si="34"/>
        <v/>
      </c>
      <c r="BA82" s="98" t="str">
        <f t="shared" ca="1" si="35"/>
        <v/>
      </c>
      <c r="BB82" s="98" t="str">
        <f t="shared" ca="1" si="36"/>
        <v/>
      </c>
      <c r="BC82" s="98" t="str">
        <f t="shared" ca="1" si="37"/>
        <v/>
      </c>
      <c r="BD82" s="98" t="str">
        <f t="shared" ca="1" si="38"/>
        <v/>
      </c>
      <c r="BE82" s="98" t="str">
        <f>IF($BL82="","",
   IF($T82=入力不可用2,
      IF(OR($BL82=マスタ!$C$5,$BL82=マスタ!$C$8), "未入力", "（正常）規定値"),
      IF(OR($BL82=マスタ!$C$5,$BL82=マスタ!$C$8), "（正常）規定値", "（エラー）値入力不可")))</f>
        <v/>
      </c>
      <c r="BF82" s="98" t="str">
        <f ca="1">IF($C82 = "", "",
       IF(AND(OR($BL82=マスタ!$C$5, $BL82=マスタ!$C$8), $T82 = ""), "未入力",
            IF(AND($Y82 = $BM$9, $T82 = $BO$9), "（エラー）「適合」のみ入力可", "（正常）規定値")))</f>
        <v/>
      </c>
      <c r="BG82" s="98" t="str">
        <f t="shared" ca="1" si="39"/>
        <v/>
      </c>
      <c r="BH82" s="98" t="str">
        <f t="shared" ca="1" si="40"/>
        <v/>
      </c>
      <c r="BI82" s="98" t="str">
        <f>IF($BL82="","",
   IF($Y82=入力不可用2,
      IF(OR($BL82=マスタ!$C$5,$BL82=マスタ!$C$8), "未入力", "（正常）規定値"),
      IF(OR($BL82=マスタ!$C$5,$BL82=マスタ!$C$8), "（正常）規定値", "（エラー）値入力不可")))</f>
        <v/>
      </c>
      <c r="BJ82" s="98" t="str">
        <f>IF($AA82="", "",
        IF($AA82=マスタ!$F$3,
             IF($AB82="", "未入力", "（正常）規定値"),
                  IF($AA82=マスタ!$F$4,
                       IF($AB82&lt;&gt;入力不可用2, "（エラー）値入力不可", "（正常）規定値"))))</f>
        <v/>
      </c>
      <c r="BL82" s="75" t="str">
        <f>IF(OR($F82 = マスタ!$C$5, F82 = マスタ!$C$8), $F82,
        IF(AND($F82 = マスタ!$C$3, 'その１事業者基本情報_入力シート（一部非公開）'!$U$16), $F82,
             IF(AND($F82 = マスタ!$C$4, 'その１事業者基本情報_入力シート（一部非公開）'!$S$16), $F82,
                  IF(AND(OR($F82 = マスタ!$C$6, $F82 = マスタ!$C$7),
                                'その１事業者基本情報_入力シート（一部非公開）'!$W$16), $F82,
                       IF(OR($F82 = マスタ!$C$3, $F82=マスタ!$C$4), マスタ!$C$5,
                            IF(OR($F82 = マスタ!$C$6, $F82 = マスタ!$C$7), マスタ!$C$8, ""))))))</f>
        <v/>
      </c>
      <c r="BM82" s="75" t="str">
        <f>IF($L82&lt;&gt;"", $L82,
       IF($M82 = マスタ!$B$3,
          IF(OR($F82=マスタ!$C$3,$F82=マスタ!$C$4,$F82=マスタ!$C$5),
            IF(OR($G82 = マスタ!$D$54, $G82 = マスタ!$D$55), 0.75, 0.87),
            IF(OR($G82 = マスタ!$D$54, $G82 = マスタ!$D$55), 0.62, 0.72)),
                 IF(ISBLANK($L82), "", $L82)))</f>
        <v/>
      </c>
      <c r="BN82" s="99" t="str">
        <f>IF($L82&lt;&gt;"", $L82,
        IF($O82 = マスタ!$B$3,
          IF(OR($F82=マスタ!$C$3,$F82=マスタ!$C$4,$F82=マスタ!$C$5), 0.6, 0.5),
             IF(ISBLANK($L82), "", $L82)))</f>
        <v/>
      </c>
      <c r="BO82" s="99" t="str">
        <f>IF($T82&lt;&gt;マスタ!$B$3,
        IF(ISBLANK($S82),"",$S82),
             IF($BL82=マスタ!$C$3,0.8,
             IF($BL82=マスタ!$C$4,0.85,
             IF($BL82=マスタ!$C$6,0.9,
             IF($BL82=マスタ!$C$7,0.9,
             IF($BL82=マスタ!$C$5,1,
             IF($BL82=マスタ!$C$8,1,"無効な入力")))))))</f>
        <v/>
      </c>
      <c r="BP82" s="99" t="str">
        <f>IF($Y82&lt;&gt;マスタ!$B$3,
   IF(ISBLANK($X82), "", $X82),
   IF($BL82=マスタ!$C$3, 0.75,
      IF($BL82=マスタ!$C$4, 0.8,
         IF($BL82=マスタ!$C$6, 0.8,
            IF($BL82=マスタ!$C$7, 0.8,
               IF($BL82=マスタ!$C$5, 0.8,
                  IF($BL82=マスタ!$C$8, 0.8, "無効な入力")))))))</f>
        <v/>
      </c>
      <c r="BQ82" s="75"/>
      <c r="BR82" s="75"/>
      <c r="BS82" s="75"/>
      <c r="BT82" s="75"/>
      <c r="BU82" s="75"/>
      <c r="BV82" s="75"/>
      <c r="BW82" s="75"/>
      <c r="BX82" s="75"/>
      <c r="BY82" s="75"/>
    </row>
    <row r="83" spans="3:77" ht="30.75" customHeight="1">
      <c r="C83" s="69" t="str" cm="1">
        <f t="array" aca="1" ref="C83" ca="1">IF(SUMPRODUCT(--($D83:$AU83 &lt;&gt; "")),RIGHT(YEAR(TODAY()),2)&amp;"01"&amp;REPT("0",4-LEN(ROW()-11))&amp;ROW()-11,"")</f>
        <v/>
      </c>
      <c r="D83" s="141"/>
      <c r="E83" s="142"/>
      <c r="F83" s="71"/>
      <c r="G83" s="66"/>
      <c r="H83" s="41" t="str">
        <f>IFERROR(VLOOKUP(G83,マスタ!$D$3:$E$55,2,FALSE),"")</f>
        <v/>
      </c>
      <c r="I83" s="93"/>
      <c r="J83" s="77"/>
      <c r="K83" s="66"/>
      <c r="L83" s="103"/>
      <c r="M83" s="71"/>
      <c r="N83" s="101" t="str">
        <f>IF($M83 = $BM$9, $BM$9,
        IF($L83 = "", "",
              IF(OR(
                          AND(OR($G83 = マスタ!$D$54, $G83 = マスタ!$D$55), $L83 &lt;= $BP$9),
                          AND($G83 &lt;&gt; マスタ!$D$54, $G83 &lt;&gt; マスタ!$D$55, $L83 &lt;= $BQ$9)
                         ), $BM$9, $BN$9)))</f>
        <v/>
      </c>
      <c r="O83" s="71"/>
      <c r="P83" s="101" t="str">
        <f t="shared" si="31"/>
        <v/>
      </c>
      <c r="Q83" s="124"/>
      <c r="R83" s="124"/>
      <c r="S83" s="112" t="str">
        <f t="shared" si="19"/>
        <v/>
      </c>
      <c r="T83" s="71"/>
      <c r="U83" s="41" t="str">
        <f>IF($T83=$BM$9, $BM$9,
        IF($S83="", "",
             IF(OR(AND($BL83=マスタ!$C$3, $S83&lt;=$BS$9),
                        AND($BL83=マスタ!$C$4, $S83&lt;=$BT$9),
                        AND(OR($BL83=マスタ!$C$6, $BL83=マスタ!$C$7), $S83&lt;=$BU$9),
                        AND(OR($BL83=マスタ!$C$5, $BL83=マスタ!$C$8), $S83&lt;=$BV$9)),
                  $BM$9, $BN$9)))</f>
        <v/>
      </c>
      <c r="V83" s="129" t="str">
        <f t="shared" si="16"/>
        <v/>
      </c>
      <c r="W83" s="124"/>
      <c r="X83" s="112" t="str">
        <f t="shared" si="20"/>
        <v/>
      </c>
      <c r="Y83" s="71"/>
      <c r="Z83" s="41" t="str">
        <f>IF($Y83=$BM$9, $BM$9,
        IF(AND($T83 = $BM$9, $Y83 = $BO$9), $BN$9,
             IF($BL83=マスタ!$C$3,
                  IF($X83&lt;=$BW$9, $BM$9,$BN$9),
                       IF(OR($BL83=マスタ!$C$4, $BL83=マスタ!$C$5, $BL83=マスタ!$C$6, $BL83=マスタ!$C$7, $BL83=マスタ!$C$8),
                            IF($X83&lt;=$BX$9, $BM$9,$BN$9), ""))))</f>
        <v/>
      </c>
      <c r="AA83" s="71"/>
      <c r="AB83" s="71"/>
      <c r="AC83" s="71"/>
      <c r="AD83" s="165"/>
      <c r="AE83" s="71"/>
      <c r="AF83" s="165"/>
      <c r="AG83" s="92"/>
      <c r="AH83" s="92"/>
      <c r="AI83" s="92"/>
      <c r="AJ83" s="92"/>
      <c r="AK83" s="121"/>
      <c r="AL83" s="121"/>
      <c r="AM83" s="121"/>
      <c r="AN83" s="121"/>
      <c r="AO83" s="92"/>
      <c r="AP83" s="130" t="str">
        <f t="shared" si="5"/>
        <v/>
      </c>
      <c r="AQ83" s="121"/>
      <c r="AR83" s="101" t="str">
        <f>IF(OR(SUMPRODUCT(--(AJ83:AQ83&lt;&gt;""))&lt;7,AND($AJ83=マスタ!$N$3,$AK83="")), "",
        IF($AJ83=マスタ!$N$5, $BO$9,
              IF(OR($F83=マスタ!$C$3, $F83=マスタ!$C$4, $F83=マスタ!$C$5),
                    IF(SUM($AL83,$AM83,$AP83,$AQ83)&gt;=1, $BM$9, $BN$9),
              IF(OR($F83=マスタ!$C$6, $F83=マスタ!$C$7, $F83=マスタ!$C$8),
                    IF($AK83&lt;10, $BO$9,
                          IF(AND(SUM($AL83,$AM83,$AP83,$AQ83)&gt;=($AK83*0.2), $AM83+$AP83+$AQ83&gt;=1),
                               $BM$9,$BN$9))))))</f>
        <v/>
      </c>
      <c r="AS83" s="101" t="str">
        <f>IF(OR(SUMPRODUCT(--(AJ83:AQ83&lt;&gt;""))&lt;7,AND($AJ83=マスタ!$N$3,$AK83="")), "",
     IF($AR83=$BN$9,$BN$9,
        IF($AJ83=マスタ!$N$5, $BO$9,
             IF(OR($F83=マスタ!$C$3, $F83=マスタ!$C$4, $F83=マスタ!$C$5),
                   IF($AQ83&gt;=1, $BM$9, $BN$9),
             IF(OR($F83=マスタ!$C$6, $F83=マスタ!$C$7, $F83=マスタ!$C$8),
                   IF($AK83&lt;5, IF($AQ83&gt;=1, $BM$9, $BN$9),
                         IF(OR($AQ83&gt;=1,
                                    AND(SUM($AL83,$AM83,$AP83,$AQ83)&gt;=$AK83*0.5, ($AM83+$AP83+$AQ83)&gt;=($AK83*0.2))),
                              $BM$9,$BN$9)))))))</f>
        <v/>
      </c>
      <c r="AT83" s="66"/>
      <c r="AU83" s="143"/>
      <c r="AV83" s="98" t="str" cm="1">
        <f t="array" aca="1" ref="AV83" ca="1">IF(AND($F83:$G83&lt;&gt;"", $I83:$K83&lt;&gt;"",
                 IF(OR($M83=$BM$9,$O83=$BM$9), TRUE, $L83&lt;&gt;""),
                 $M83&lt;&gt;"",$O83&lt;&gt;"",
                 IF($T83=$BM$9, TRUE, $Q83:$R83&lt;&gt;""),
                 IF(AND($BL83&lt;&gt;"", $BL83&lt;&gt;マスタ!$C$5, $BL83&lt;&gt;マスタ!$C$8), TRUE, $T83&lt;&gt;""),
                 IF(OR(AND($T83=$BM$9,  $Y83=$BO$9), $Y83=$BM$9), TRUE,$W83&lt;&gt;""),
                 IF(AND($BL83&lt;&gt;"", $BL83&lt;&gt;マスタ!$C$5, $BL83&lt;&gt;マスタ!$C$8), TRUE, $Y83&lt;&gt;""),
                 $AA83&lt;&gt;"",
                 IF($AA83=マスタ!$F$4, TRUE, $AB83&lt;&gt;""),
                 $AG83:$AO83&lt;&gt;"", $AQ83&lt;&gt;"", $AT83&lt;&gt;""),
        "（正常）入力済み", IF($C83= "", "（複数入力）未入力", "（エラー）一部未入力"))</f>
        <v>（複数入力）未入力</v>
      </c>
      <c r="AW83" s="98" t="str">
        <f t="shared" ca="1" si="6"/>
        <v/>
      </c>
      <c r="AX83" s="98" t="str">
        <f t="shared" ca="1" si="32"/>
        <v/>
      </c>
      <c r="AY83" s="98" t="str">
        <f t="shared" ca="1" si="33"/>
        <v/>
      </c>
      <c r="AZ83" s="98" t="str">
        <f t="shared" ca="1" si="34"/>
        <v/>
      </c>
      <c r="BA83" s="98" t="str">
        <f t="shared" ca="1" si="35"/>
        <v/>
      </c>
      <c r="BB83" s="98" t="str">
        <f t="shared" ca="1" si="36"/>
        <v/>
      </c>
      <c r="BC83" s="98" t="str">
        <f t="shared" ca="1" si="37"/>
        <v/>
      </c>
      <c r="BD83" s="98" t="str">
        <f t="shared" ca="1" si="38"/>
        <v/>
      </c>
      <c r="BE83" s="98" t="str">
        <f>IF($BL83="","",
   IF($T83=入力不可用2,
      IF(OR($BL83=マスタ!$C$5,$BL83=マスタ!$C$8), "未入力", "（正常）規定値"),
      IF(OR($BL83=マスタ!$C$5,$BL83=マスタ!$C$8), "（正常）規定値", "（エラー）値入力不可")))</f>
        <v/>
      </c>
      <c r="BF83" s="98" t="str">
        <f ca="1">IF($C83 = "", "",
       IF(AND(OR($BL83=マスタ!$C$5, $BL83=マスタ!$C$8), $T83 = ""), "未入力",
            IF(AND($Y83 = $BM$9, $T83 = $BO$9), "（エラー）「適合」のみ入力可", "（正常）規定値")))</f>
        <v/>
      </c>
      <c r="BG83" s="98" t="str">
        <f t="shared" ca="1" si="39"/>
        <v/>
      </c>
      <c r="BH83" s="98" t="str">
        <f t="shared" ca="1" si="40"/>
        <v/>
      </c>
      <c r="BI83" s="98" t="str">
        <f>IF($BL83="","",
   IF($Y83=入力不可用2,
      IF(OR($BL83=マスタ!$C$5,$BL83=マスタ!$C$8), "未入力", "（正常）規定値"),
      IF(OR($BL83=マスタ!$C$5,$BL83=マスタ!$C$8), "（正常）規定値", "（エラー）値入力不可")))</f>
        <v/>
      </c>
      <c r="BJ83" s="98" t="str">
        <f>IF($AA83="", "",
        IF($AA83=マスタ!$F$3,
             IF($AB83="", "未入力", "（正常）規定値"),
                  IF($AA83=マスタ!$F$4,
                       IF($AB83&lt;&gt;入力不可用2, "（エラー）値入力不可", "（正常）規定値"))))</f>
        <v/>
      </c>
      <c r="BL83" s="75" t="str">
        <f>IF(OR($F83 = マスタ!$C$5, F83 = マスタ!$C$8), $F83,
        IF(AND($F83 = マスタ!$C$3, 'その１事業者基本情報_入力シート（一部非公開）'!$U$16), $F83,
             IF(AND($F83 = マスタ!$C$4, 'その１事業者基本情報_入力シート（一部非公開）'!$S$16), $F83,
                  IF(AND(OR($F83 = マスタ!$C$6, $F83 = マスタ!$C$7),
                                'その１事業者基本情報_入力シート（一部非公開）'!$W$16), $F83,
                       IF(OR($F83 = マスタ!$C$3, $F83=マスタ!$C$4), マスタ!$C$5,
                            IF(OR($F83 = マスタ!$C$6, $F83 = マスタ!$C$7), マスタ!$C$8, ""))))))</f>
        <v/>
      </c>
      <c r="BM83" s="75" t="str">
        <f>IF($L83&lt;&gt;"", $L83,
       IF($M83 = マスタ!$B$3,
          IF(OR($F83=マスタ!$C$3,$F83=マスタ!$C$4,$F83=マスタ!$C$5),
            IF(OR($G83 = マスタ!$D$54, $G83 = マスタ!$D$55), 0.75, 0.87),
            IF(OR($G83 = マスタ!$D$54, $G83 = マスタ!$D$55), 0.62, 0.72)),
                 IF(ISBLANK($L83), "", $L83)))</f>
        <v/>
      </c>
      <c r="BN83" s="99" t="str">
        <f>IF($L83&lt;&gt;"", $L83,
        IF($O83 = マスタ!$B$3,
          IF(OR($F83=マスタ!$C$3,$F83=マスタ!$C$4,$F83=マスタ!$C$5), 0.6, 0.5),
             IF(ISBLANK($L83), "", $L83)))</f>
        <v/>
      </c>
      <c r="BO83" s="99" t="str">
        <f>IF($T83&lt;&gt;マスタ!$B$3,
        IF(ISBLANK($S83),"",$S83),
             IF($BL83=マスタ!$C$3,0.8,
             IF($BL83=マスタ!$C$4,0.85,
             IF($BL83=マスタ!$C$6,0.9,
             IF($BL83=マスタ!$C$7,0.9,
             IF($BL83=マスタ!$C$5,1,
             IF($BL83=マスタ!$C$8,1,"無効な入力")))))))</f>
        <v/>
      </c>
      <c r="BP83" s="99" t="str">
        <f>IF($Y83&lt;&gt;マスタ!$B$3,
   IF(ISBLANK($X83), "", $X83),
   IF($BL83=マスタ!$C$3, 0.75,
      IF($BL83=マスタ!$C$4, 0.8,
         IF($BL83=マスタ!$C$6, 0.8,
            IF($BL83=マスタ!$C$7, 0.8,
               IF($BL83=マスタ!$C$5, 0.8,
                  IF($BL83=マスタ!$C$8, 0.8, "無効な入力")))))))</f>
        <v/>
      </c>
      <c r="BQ83" s="75"/>
      <c r="BR83" s="75"/>
      <c r="BS83" s="75"/>
      <c r="BT83" s="75"/>
      <c r="BU83" s="75"/>
      <c r="BV83" s="75"/>
      <c r="BW83" s="75"/>
      <c r="BX83" s="75"/>
      <c r="BY83" s="75"/>
    </row>
    <row r="84" spans="3:77" ht="30.75" customHeight="1">
      <c r="C84" s="69" t="str" cm="1">
        <f t="array" aca="1" ref="C84" ca="1">IF(SUMPRODUCT(--($D84:$AU84 &lt;&gt; "")),RIGHT(YEAR(TODAY()),2)&amp;"01"&amp;REPT("0",4-LEN(ROW()-11))&amp;ROW()-11,"")</f>
        <v/>
      </c>
      <c r="D84" s="141"/>
      <c r="E84" s="142"/>
      <c r="F84" s="71"/>
      <c r="G84" s="66"/>
      <c r="H84" s="41" t="str">
        <f>IFERROR(VLOOKUP(G84,マスタ!$D$3:$E$55,2,FALSE),"")</f>
        <v/>
      </c>
      <c r="I84" s="93"/>
      <c r="J84" s="77"/>
      <c r="K84" s="66"/>
      <c r="L84" s="103"/>
      <c r="M84" s="71"/>
      <c r="N84" s="101" t="str">
        <f>IF($M84 = $BM$9, $BM$9,
        IF($L84 = "", "",
              IF(OR(
                          AND(OR($G84 = マスタ!$D$54, $G84 = マスタ!$D$55), $L84 &lt;= $BP$9),
                          AND($G84 &lt;&gt; マスタ!$D$54, $G84 &lt;&gt; マスタ!$D$55, $L84 &lt;= $BQ$9)
                         ), $BM$9, $BN$9)))</f>
        <v/>
      </c>
      <c r="O84" s="71"/>
      <c r="P84" s="101" t="str">
        <f t="shared" si="31"/>
        <v/>
      </c>
      <c r="Q84" s="124"/>
      <c r="R84" s="124"/>
      <c r="S84" s="112" t="str">
        <f t="shared" si="19"/>
        <v/>
      </c>
      <c r="T84" s="71"/>
      <c r="U84" s="41" t="str">
        <f>IF($T84=$BM$9, $BM$9,
        IF($S84="", "",
             IF(OR(AND($BL84=マスタ!$C$3, $S84&lt;=$BS$9),
                        AND($BL84=マスタ!$C$4, $S84&lt;=$BT$9),
                        AND(OR($BL84=マスタ!$C$6, $BL84=マスタ!$C$7), $S84&lt;=$BU$9),
                        AND(OR($BL84=マスタ!$C$5, $BL84=マスタ!$C$8), $S84&lt;=$BV$9)),
                  $BM$9, $BN$9)))</f>
        <v/>
      </c>
      <c r="V84" s="129" t="str">
        <f t="shared" si="16"/>
        <v/>
      </c>
      <c r="W84" s="124"/>
      <c r="X84" s="112" t="str">
        <f t="shared" si="20"/>
        <v/>
      </c>
      <c r="Y84" s="71"/>
      <c r="Z84" s="41" t="str">
        <f>IF($Y84=$BM$9, $BM$9,
        IF(AND($T84 = $BM$9, $Y84 = $BO$9), $BN$9,
             IF($BL84=マスタ!$C$3,
                  IF($X84&lt;=$BW$9, $BM$9,$BN$9),
                       IF(OR($BL84=マスタ!$C$4, $BL84=マスタ!$C$5, $BL84=マスタ!$C$6, $BL84=マスタ!$C$7, $BL84=マスタ!$C$8),
                            IF($X84&lt;=$BX$9, $BM$9,$BN$9), ""))))</f>
        <v/>
      </c>
      <c r="AA84" s="71"/>
      <c r="AB84" s="71"/>
      <c r="AC84" s="71"/>
      <c r="AD84" s="165"/>
      <c r="AE84" s="71"/>
      <c r="AF84" s="165"/>
      <c r="AG84" s="92"/>
      <c r="AH84" s="92"/>
      <c r="AI84" s="92"/>
      <c r="AJ84" s="92"/>
      <c r="AK84" s="121"/>
      <c r="AL84" s="121"/>
      <c r="AM84" s="121"/>
      <c r="AN84" s="121"/>
      <c r="AO84" s="92"/>
      <c r="AP84" s="130" t="str">
        <f t="shared" si="5"/>
        <v/>
      </c>
      <c r="AQ84" s="121"/>
      <c r="AR84" s="101" t="str">
        <f>IF(OR(SUMPRODUCT(--(AJ84:AQ84&lt;&gt;""))&lt;7,AND($AJ84=マスタ!$N$3,$AK84="")), "",
        IF($AJ84=マスタ!$N$5, $BO$9,
              IF(OR($F84=マスタ!$C$3, $F84=マスタ!$C$4, $F84=マスタ!$C$5),
                    IF(SUM($AL84,$AM84,$AP84,$AQ84)&gt;=1, $BM$9, $BN$9),
              IF(OR($F84=マスタ!$C$6, $F84=マスタ!$C$7, $F84=マスタ!$C$8),
                    IF($AK84&lt;10, $BO$9,
                          IF(AND(SUM($AL84,$AM84,$AP84,$AQ84)&gt;=($AK84*0.2), $AM84+$AP84+$AQ84&gt;=1),
                               $BM$9,$BN$9))))))</f>
        <v/>
      </c>
      <c r="AS84" s="101" t="str">
        <f>IF(OR(SUMPRODUCT(--(AJ84:AQ84&lt;&gt;""))&lt;7,AND($AJ84=マスタ!$N$3,$AK84="")), "",
     IF($AR84=$BN$9,$BN$9,
        IF($AJ84=マスタ!$N$5, $BO$9,
             IF(OR($F84=マスタ!$C$3, $F84=マスタ!$C$4, $F84=マスタ!$C$5),
                   IF($AQ84&gt;=1, $BM$9, $BN$9),
             IF(OR($F84=マスタ!$C$6, $F84=マスタ!$C$7, $F84=マスタ!$C$8),
                   IF($AK84&lt;5, IF($AQ84&gt;=1, $BM$9, $BN$9),
                         IF(OR($AQ84&gt;=1,
                                    AND(SUM($AL84,$AM84,$AP84,$AQ84)&gt;=$AK84*0.5, ($AM84+$AP84+$AQ84)&gt;=($AK84*0.2))),
                              $BM$9,$BN$9)))))))</f>
        <v/>
      </c>
      <c r="AT84" s="66"/>
      <c r="AU84" s="143"/>
      <c r="AV84" s="98" t="str" cm="1">
        <f t="array" aca="1" ref="AV84" ca="1">IF(AND($F84:$G84&lt;&gt;"", $I84:$K84&lt;&gt;"",
                 IF(OR($M84=$BM$9,$O84=$BM$9), TRUE, $L84&lt;&gt;""),
                 $M84&lt;&gt;"",$O84&lt;&gt;"",
                 IF($T84=$BM$9, TRUE, $Q84:$R84&lt;&gt;""),
                 IF(AND($BL84&lt;&gt;"", $BL84&lt;&gt;マスタ!$C$5, $BL84&lt;&gt;マスタ!$C$8), TRUE, $T84&lt;&gt;""),
                 IF(OR(AND($T84=$BM$9,  $Y84=$BO$9), $Y84=$BM$9), TRUE,$W84&lt;&gt;""),
                 IF(AND($BL84&lt;&gt;"", $BL84&lt;&gt;マスタ!$C$5, $BL84&lt;&gt;マスタ!$C$8), TRUE, $Y84&lt;&gt;""),
                 $AA84&lt;&gt;"",
                 IF($AA84=マスタ!$F$4, TRUE, $AB84&lt;&gt;""),
                 $AG84:$AO84&lt;&gt;"", $AQ84&lt;&gt;"", $AT84&lt;&gt;""),
        "（正常）入力済み", IF($C84= "", "（複数入力）未入力", "（エラー）一部未入力"))</f>
        <v>（複数入力）未入力</v>
      </c>
      <c r="AW84" s="98" t="str">
        <f t="shared" ca="1" si="6"/>
        <v/>
      </c>
      <c r="AX84" s="98" t="str">
        <f t="shared" ca="1" si="32"/>
        <v/>
      </c>
      <c r="AY84" s="98" t="str">
        <f t="shared" ca="1" si="33"/>
        <v/>
      </c>
      <c r="AZ84" s="98" t="str">
        <f t="shared" ca="1" si="34"/>
        <v/>
      </c>
      <c r="BA84" s="98" t="str">
        <f t="shared" ca="1" si="35"/>
        <v/>
      </c>
      <c r="BB84" s="98" t="str">
        <f t="shared" ca="1" si="36"/>
        <v/>
      </c>
      <c r="BC84" s="98" t="str">
        <f t="shared" ca="1" si="37"/>
        <v/>
      </c>
      <c r="BD84" s="98" t="str">
        <f t="shared" ca="1" si="38"/>
        <v/>
      </c>
      <c r="BE84" s="98" t="str">
        <f>IF($BL84="","",
   IF($T84=入力不可用2,
      IF(OR($BL84=マスタ!$C$5,$BL84=マスタ!$C$8), "未入力", "（正常）規定値"),
      IF(OR($BL84=マスタ!$C$5,$BL84=マスタ!$C$8), "（正常）規定値", "（エラー）値入力不可")))</f>
        <v/>
      </c>
      <c r="BF84" s="98" t="str">
        <f ca="1">IF($C84 = "", "",
       IF(AND(OR($BL84=マスタ!$C$5, $BL84=マスタ!$C$8), $T84 = ""), "未入力",
            IF(AND($Y84 = $BM$9, $T84 = $BO$9), "（エラー）「適合」のみ入力可", "（正常）規定値")))</f>
        <v/>
      </c>
      <c r="BG84" s="98" t="str">
        <f t="shared" ca="1" si="39"/>
        <v/>
      </c>
      <c r="BH84" s="98" t="str">
        <f t="shared" ca="1" si="40"/>
        <v/>
      </c>
      <c r="BI84" s="98" t="str">
        <f>IF($BL84="","",
   IF($Y84=入力不可用2,
      IF(OR($BL84=マスタ!$C$5,$BL84=マスタ!$C$8), "未入力", "（正常）規定値"),
      IF(OR($BL84=マスタ!$C$5,$BL84=マスタ!$C$8), "（正常）規定値", "（エラー）値入力不可")))</f>
        <v/>
      </c>
      <c r="BJ84" s="98" t="str">
        <f>IF($AA84="", "",
        IF($AA84=マスタ!$F$3,
             IF($AB84="", "未入力", "（正常）規定値"),
                  IF($AA84=マスタ!$F$4,
                       IF($AB84&lt;&gt;入力不可用2, "（エラー）値入力不可", "（正常）規定値"))))</f>
        <v/>
      </c>
      <c r="BL84" s="75" t="str">
        <f>IF(OR($F84 = マスタ!$C$5, F84 = マスタ!$C$8), $F84,
        IF(AND($F84 = マスタ!$C$3, 'その１事業者基本情報_入力シート（一部非公開）'!$U$16), $F84,
             IF(AND($F84 = マスタ!$C$4, 'その１事業者基本情報_入力シート（一部非公開）'!$S$16), $F84,
                  IF(AND(OR($F84 = マスタ!$C$6, $F84 = マスタ!$C$7),
                                'その１事業者基本情報_入力シート（一部非公開）'!$W$16), $F84,
                       IF(OR($F84 = マスタ!$C$3, $F84=マスタ!$C$4), マスタ!$C$5,
                            IF(OR($F84 = マスタ!$C$6, $F84 = マスタ!$C$7), マスタ!$C$8, ""))))))</f>
        <v/>
      </c>
      <c r="BM84" s="75" t="str">
        <f>IF($L84&lt;&gt;"", $L84,
       IF($M84 = マスタ!$B$3,
          IF(OR($F84=マスタ!$C$3,$F84=マスタ!$C$4,$F84=マスタ!$C$5),
            IF(OR($G84 = マスタ!$D$54, $G84 = マスタ!$D$55), 0.75, 0.87),
            IF(OR($G84 = マスタ!$D$54, $G84 = マスタ!$D$55), 0.62, 0.72)),
                 IF(ISBLANK($L84), "", $L84)))</f>
        <v/>
      </c>
      <c r="BN84" s="99" t="str">
        <f>IF($L84&lt;&gt;"", $L84,
        IF($O84 = マスタ!$B$3,
          IF(OR($F84=マスタ!$C$3,$F84=マスタ!$C$4,$F84=マスタ!$C$5), 0.6, 0.5),
             IF(ISBLANK($L84), "", $L84)))</f>
        <v/>
      </c>
      <c r="BO84" s="99" t="str">
        <f>IF($T84&lt;&gt;マスタ!$B$3,
        IF(ISBLANK($S84),"",$S84),
             IF($BL84=マスタ!$C$3,0.8,
             IF($BL84=マスタ!$C$4,0.85,
             IF($BL84=マスタ!$C$6,0.9,
             IF($BL84=マスタ!$C$7,0.9,
             IF($BL84=マスタ!$C$5,1,
             IF($BL84=マスタ!$C$8,1,"無効な入力")))))))</f>
        <v/>
      </c>
      <c r="BP84" s="99" t="str">
        <f>IF($Y84&lt;&gt;マスタ!$B$3,
   IF(ISBLANK($X84), "", $X84),
   IF($BL84=マスタ!$C$3, 0.75,
      IF($BL84=マスタ!$C$4, 0.8,
         IF($BL84=マスタ!$C$6, 0.8,
            IF($BL84=マスタ!$C$7, 0.8,
               IF($BL84=マスタ!$C$5, 0.8,
                  IF($BL84=マスタ!$C$8, 0.8, "無効な入力")))))))</f>
        <v/>
      </c>
      <c r="BQ84" s="75"/>
      <c r="BR84" s="75"/>
      <c r="BS84" s="75"/>
      <c r="BT84" s="75"/>
      <c r="BU84" s="75"/>
      <c r="BV84" s="75"/>
      <c r="BW84" s="75"/>
      <c r="BX84" s="75"/>
      <c r="BY84" s="75"/>
    </row>
    <row r="85" spans="3:77" ht="30.75" customHeight="1">
      <c r="C85" s="69" t="str" cm="1">
        <f t="array" aca="1" ref="C85" ca="1">IF(SUMPRODUCT(--($D85:$AU85 &lt;&gt; "")),RIGHT(YEAR(TODAY()),2)&amp;"01"&amp;REPT("0",4-LEN(ROW()-11))&amp;ROW()-11,"")</f>
        <v/>
      </c>
      <c r="D85" s="141"/>
      <c r="E85" s="142"/>
      <c r="F85" s="71"/>
      <c r="G85" s="66"/>
      <c r="H85" s="41" t="str">
        <f>IFERROR(VLOOKUP(G85,マスタ!$D$3:$E$55,2,FALSE),"")</f>
        <v/>
      </c>
      <c r="I85" s="93"/>
      <c r="J85" s="77"/>
      <c r="K85" s="66"/>
      <c r="L85" s="103"/>
      <c r="M85" s="71"/>
      <c r="N85" s="101" t="str">
        <f>IF($M85 = $BM$9, $BM$9,
        IF($L85 = "", "",
              IF(OR(
                          AND(OR($G85 = マスタ!$D$54, $G85 = マスタ!$D$55), $L85 &lt;= $BP$9),
                          AND($G85 &lt;&gt; マスタ!$D$54, $G85 &lt;&gt; マスタ!$D$55, $L85 &lt;= $BQ$9)
                         ), $BM$9, $BN$9)))</f>
        <v/>
      </c>
      <c r="O85" s="71"/>
      <c r="P85" s="101" t="str">
        <f t="shared" si="31"/>
        <v/>
      </c>
      <c r="Q85" s="124"/>
      <c r="R85" s="124"/>
      <c r="S85" s="112" t="str">
        <f t="shared" si="19"/>
        <v/>
      </c>
      <c r="T85" s="71"/>
      <c r="U85" s="41" t="str">
        <f>IF($T85=$BM$9, $BM$9,
        IF($S85="", "",
             IF(OR(AND($BL85=マスタ!$C$3, $S85&lt;=$BS$9),
                        AND($BL85=マスタ!$C$4, $S85&lt;=$BT$9),
                        AND(OR($BL85=マスタ!$C$6, $BL85=マスタ!$C$7), $S85&lt;=$BU$9),
                        AND(OR($BL85=マスタ!$C$5, $BL85=マスタ!$C$8), $S85&lt;=$BV$9)),
                  $BM$9, $BN$9)))</f>
        <v/>
      </c>
      <c r="V85" s="129" t="str">
        <f t="shared" si="16"/>
        <v/>
      </c>
      <c r="W85" s="124"/>
      <c r="X85" s="112" t="str">
        <f t="shared" si="20"/>
        <v/>
      </c>
      <c r="Y85" s="71"/>
      <c r="Z85" s="41" t="str">
        <f>IF($Y85=$BM$9, $BM$9,
        IF(AND($T85 = $BM$9, $Y85 = $BO$9), $BN$9,
             IF($BL85=マスタ!$C$3,
                  IF($X85&lt;=$BW$9, $BM$9,$BN$9),
                       IF(OR($BL85=マスタ!$C$4, $BL85=マスタ!$C$5, $BL85=マスタ!$C$6, $BL85=マスタ!$C$7, $BL85=マスタ!$C$8),
                            IF($X85&lt;=$BX$9, $BM$9,$BN$9), ""))))</f>
        <v/>
      </c>
      <c r="AA85" s="71"/>
      <c r="AB85" s="71"/>
      <c r="AC85" s="71"/>
      <c r="AD85" s="165"/>
      <c r="AE85" s="71"/>
      <c r="AF85" s="165"/>
      <c r="AG85" s="92"/>
      <c r="AH85" s="92"/>
      <c r="AI85" s="92"/>
      <c r="AJ85" s="92"/>
      <c r="AK85" s="121"/>
      <c r="AL85" s="121"/>
      <c r="AM85" s="121"/>
      <c r="AN85" s="121"/>
      <c r="AO85" s="92"/>
      <c r="AP85" s="130" t="str">
        <f t="shared" si="5"/>
        <v/>
      </c>
      <c r="AQ85" s="121"/>
      <c r="AR85" s="101" t="str">
        <f>IF(OR(SUMPRODUCT(--(AJ85:AQ85&lt;&gt;""))&lt;7,AND($AJ85=マスタ!$N$3,$AK85="")), "",
        IF($AJ85=マスタ!$N$5, $BO$9,
              IF(OR($F85=マスタ!$C$3, $F85=マスタ!$C$4, $F85=マスタ!$C$5),
                    IF(SUM($AL85,$AM85,$AP85,$AQ85)&gt;=1, $BM$9, $BN$9),
              IF(OR($F85=マスタ!$C$6, $F85=マスタ!$C$7, $F85=マスタ!$C$8),
                    IF($AK85&lt;10, $BO$9,
                          IF(AND(SUM($AL85,$AM85,$AP85,$AQ85)&gt;=($AK85*0.2), $AM85+$AP85+$AQ85&gt;=1),
                               $BM$9,$BN$9))))))</f>
        <v/>
      </c>
      <c r="AS85" s="101" t="str">
        <f>IF(OR(SUMPRODUCT(--(AJ85:AQ85&lt;&gt;""))&lt;7,AND($AJ85=マスタ!$N$3,$AK85="")), "",
     IF($AR85=$BN$9,$BN$9,
        IF($AJ85=マスタ!$N$5, $BO$9,
             IF(OR($F85=マスタ!$C$3, $F85=マスタ!$C$4, $F85=マスタ!$C$5),
                   IF($AQ85&gt;=1, $BM$9, $BN$9),
             IF(OR($F85=マスタ!$C$6, $F85=マスタ!$C$7, $F85=マスタ!$C$8),
                   IF($AK85&lt;5, IF($AQ85&gt;=1, $BM$9, $BN$9),
                         IF(OR($AQ85&gt;=1,
                                    AND(SUM($AL85,$AM85,$AP85,$AQ85)&gt;=$AK85*0.5, ($AM85+$AP85+$AQ85)&gt;=($AK85*0.2))),
                              $BM$9,$BN$9)))))))</f>
        <v/>
      </c>
      <c r="AT85" s="66"/>
      <c r="AU85" s="143"/>
      <c r="AV85" s="98" t="str" cm="1">
        <f t="array" aca="1" ref="AV85" ca="1">IF(AND($F85:$G85&lt;&gt;"", $I85:$K85&lt;&gt;"",
                 IF(OR($M85=$BM$9,$O85=$BM$9), TRUE, $L85&lt;&gt;""),
                 $M85&lt;&gt;"",$O85&lt;&gt;"",
                 IF($T85=$BM$9, TRUE, $Q85:$R85&lt;&gt;""),
                 IF(AND($BL85&lt;&gt;"", $BL85&lt;&gt;マスタ!$C$5, $BL85&lt;&gt;マスタ!$C$8), TRUE, $T85&lt;&gt;""),
                 IF(OR(AND($T85=$BM$9,  $Y85=$BO$9), $Y85=$BM$9), TRUE,$W85&lt;&gt;""),
                 IF(AND($BL85&lt;&gt;"", $BL85&lt;&gt;マスタ!$C$5, $BL85&lt;&gt;マスタ!$C$8), TRUE, $Y85&lt;&gt;""),
                 $AA85&lt;&gt;"",
                 IF($AA85=マスタ!$F$4, TRUE, $AB85&lt;&gt;""),
                 $AG85:$AO85&lt;&gt;"", $AQ85&lt;&gt;"", $AT85&lt;&gt;""),
        "（正常）入力済み", IF($C85= "", "（複数入力）未入力", "（エラー）一部未入力"))</f>
        <v>（複数入力）未入力</v>
      </c>
      <c r="AW85" s="98" t="str">
        <f t="shared" ca="1" si="6"/>
        <v/>
      </c>
      <c r="AX85" s="98" t="str">
        <f t="shared" ca="1" si="32"/>
        <v/>
      </c>
      <c r="AY85" s="98" t="str">
        <f t="shared" ca="1" si="33"/>
        <v/>
      </c>
      <c r="AZ85" s="98" t="str">
        <f t="shared" ca="1" si="34"/>
        <v/>
      </c>
      <c r="BA85" s="98" t="str">
        <f t="shared" ca="1" si="35"/>
        <v/>
      </c>
      <c r="BB85" s="98" t="str">
        <f t="shared" ca="1" si="36"/>
        <v/>
      </c>
      <c r="BC85" s="98" t="str">
        <f t="shared" ca="1" si="37"/>
        <v/>
      </c>
      <c r="BD85" s="98" t="str">
        <f t="shared" ca="1" si="38"/>
        <v/>
      </c>
      <c r="BE85" s="98" t="str">
        <f>IF($BL85="","",
   IF($T85=入力不可用2,
      IF(OR($BL85=マスタ!$C$5,$BL85=マスタ!$C$8), "未入力", "（正常）規定値"),
      IF(OR($BL85=マスタ!$C$5,$BL85=マスタ!$C$8), "（正常）規定値", "（エラー）値入力不可")))</f>
        <v/>
      </c>
      <c r="BF85" s="98" t="str">
        <f ca="1">IF($C85 = "", "",
       IF(AND(OR($BL85=マスタ!$C$5, $BL85=マスタ!$C$8), $T85 = ""), "未入力",
            IF(AND($Y85 = $BM$9, $T85 = $BO$9), "（エラー）「適合」のみ入力可", "（正常）規定値")))</f>
        <v/>
      </c>
      <c r="BG85" s="98" t="str">
        <f t="shared" ca="1" si="39"/>
        <v/>
      </c>
      <c r="BH85" s="98" t="str">
        <f t="shared" ca="1" si="40"/>
        <v/>
      </c>
      <c r="BI85" s="98" t="str">
        <f>IF($BL85="","",
   IF($Y85=入力不可用2,
      IF(OR($BL85=マスタ!$C$5,$BL85=マスタ!$C$8), "未入力", "（正常）規定値"),
      IF(OR($BL85=マスタ!$C$5,$BL85=マスタ!$C$8), "（正常）規定値", "（エラー）値入力不可")))</f>
        <v/>
      </c>
      <c r="BJ85" s="98" t="str">
        <f>IF($AA85="", "",
        IF($AA85=マスタ!$F$3,
             IF($AB85="", "未入力", "（正常）規定値"),
                  IF($AA85=マスタ!$F$4,
                       IF($AB85&lt;&gt;入力不可用2, "（エラー）値入力不可", "（正常）規定値"))))</f>
        <v/>
      </c>
      <c r="BL85" s="75" t="str">
        <f>IF(OR($F85 = マスタ!$C$5, F85 = マスタ!$C$8), $F85,
        IF(AND($F85 = マスタ!$C$3, 'その１事業者基本情報_入力シート（一部非公開）'!$U$16), $F85,
             IF(AND($F85 = マスタ!$C$4, 'その１事業者基本情報_入力シート（一部非公開）'!$S$16), $F85,
                  IF(AND(OR($F85 = マスタ!$C$6, $F85 = マスタ!$C$7),
                                'その１事業者基本情報_入力シート（一部非公開）'!$W$16), $F85,
                       IF(OR($F85 = マスタ!$C$3, $F85=マスタ!$C$4), マスタ!$C$5,
                            IF(OR($F85 = マスタ!$C$6, $F85 = マスタ!$C$7), マスタ!$C$8, ""))))))</f>
        <v/>
      </c>
      <c r="BM85" s="75" t="str">
        <f>IF($L85&lt;&gt;"", $L85,
       IF($M85 = マスタ!$B$3,
          IF(OR($F85=マスタ!$C$3,$F85=マスタ!$C$4,$F85=マスタ!$C$5),
            IF(OR($G85 = マスタ!$D$54, $G85 = マスタ!$D$55), 0.75, 0.87),
            IF(OR($G85 = マスタ!$D$54, $G85 = マスタ!$D$55), 0.62, 0.72)),
                 IF(ISBLANK($L85), "", $L85)))</f>
        <v/>
      </c>
      <c r="BN85" s="99" t="str">
        <f>IF($L85&lt;&gt;"", $L85,
        IF($O85 = マスタ!$B$3,
          IF(OR($F85=マスタ!$C$3,$F85=マスタ!$C$4,$F85=マスタ!$C$5), 0.6, 0.5),
             IF(ISBLANK($L85), "", $L85)))</f>
        <v/>
      </c>
      <c r="BO85" s="99" t="str">
        <f>IF($T85&lt;&gt;マスタ!$B$3,
        IF(ISBLANK($S85),"",$S85),
             IF($BL85=マスタ!$C$3,0.8,
             IF($BL85=マスタ!$C$4,0.85,
             IF($BL85=マスタ!$C$6,0.9,
             IF($BL85=マスタ!$C$7,0.9,
             IF($BL85=マスタ!$C$5,1,
             IF($BL85=マスタ!$C$8,1,"無効な入力")))))))</f>
        <v/>
      </c>
      <c r="BP85" s="99" t="str">
        <f>IF($Y85&lt;&gt;マスタ!$B$3,
   IF(ISBLANK($X85), "", $X85),
   IF($BL85=マスタ!$C$3, 0.75,
      IF($BL85=マスタ!$C$4, 0.8,
         IF($BL85=マスタ!$C$6, 0.8,
            IF($BL85=マスタ!$C$7, 0.8,
               IF($BL85=マスタ!$C$5, 0.8,
                  IF($BL85=マスタ!$C$8, 0.8, "無効な入力")))))))</f>
        <v/>
      </c>
      <c r="BQ85" s="75"/>
      <c r="BR85" s="75"/>
      <c r="BS85" s="75"/>
      <c r="BT85" s="75"/>
      <c r="BU85" s="75"/>
      <c r="BV85" s="75"/>
      <c r="BW85" s="75"/>
      <c r="BX85" s="75"/>
      <c r="BY85" s="75"/>
    </row>
    <row r="86" spans="3:77" ht="30.75" customHeight="1">
      <c r="C86" s="69" t="str" cm="1">
        <f t="array" aca="1" ref="C86" ca="1">IF(SUMPRODUCT(--($D86:$AU86 &lt;&gt; "")),RIGHT(YEAR(TODAY()),2)&amp;"01"&amp;REPT("0",4-LEN(ROW()-11))&amp;ROW()-11,"")</f>
        <v/>
      </c>
      <c r="D86" s="141"/>
      <c r="E86" s="142"/>
      <c r="F86" s="71"/>
      <c r="G86" s="66"/>
      <c r="H86" s="41" t="str">
        <f>IFERROR(VLOOKUP(G86,マスタ!$D$3:$E$55,2,FALSE),"")</f>
        <v/>
      </c>
      <c r="I86" s="93"/>
      <c r="J86" s="77"/>
      <c r="K86" s="66"/>
      <c r="L86" s="103"/>
      <c r="M86" s="71"/>
      <c r="N86" s="101" t="str">
        <f>IF($M86 = $BM$9, $BM$9,
        IF($L86 = "", "",
              IF(OR(
                          AND(OR($G86 = マスタ!$D$54, $G86 = マスタ!$D$55), $L86 &lt;= $BP$9),
                          AND($G86 &lt;&gt; マスタ!$D$54, $G86 &lt;&gt; マスタ!$D$55, $L86 &lt;= $BQ$9)
                         ), $BM$9, $BN$9)))</f>
        <v/>
      </c>
      <c r="O86" s="71"/>
      <c r="P86" s="101" t="str">
        <f t="shared" si="31"/>
        <v/>
      </c>
      <c r="Q86" s="124"/>
      <c r="R86" s="124"/>
      <c r="S86" s="112" t="str">
        <f t="shared" si="19"/>
        <v/>
      </c>
      <c r="T86" s="71"/>
      <c r="U86" s="41" t="str">
        <f>IF($T86=$BM$9, $BM$9,
        IF($S86="", "",
             IF(OR(AND($BL86=マスタ!$C$3, $S86&lt;=$BS$9),
                        AND($BL86=マスタ!$C$4, $S86&lt;=$BT$9),
                        AND(OR($BL86=マスタ!$C$6, $BL86=マスタ!$C$7), $S86&lt;=$BU$9),
                        AND(OR($BL86=マスタ!$C$5, $BL86=マスタ!$C$8), $S86&lt;=$BV$9)),
                  $BM$9, $BN$9)))</f>
        <v/>
      </c>
      <c r="V86" s="129" t="str">
        <f t="shared" si="16"/>
        <v/>
      </c>
      <c r="W86" s="124"/>
      <c r="X86" s="112" t="str">
        <f t="shared" si="20"/>
        <v/>
      </c>
      <c r="Y86" s="71"/>
      <c r="Z86" s="41" t="str">
        <f>IF($Y86=$BM$9, $BM$9,
        IF(AND($T86 = $BM$9, $Y86 = $BO$9), $BN$9,
             IF($BL86=マスタ!$C$3,
                  IF($X86&lt;=$BW$9, $BM$9,$BN$9),
                       IF(OR($BL86=マスタ!$C$4, $BL86=マスタ!$C$5, $BL86=マスタ!$C$6, $BL86=マスタ!$C$7, $BL86=マスタ!$C$8),
                            IF($X86&lt;=$BX$9, $BM$9,$BN$9), ""))))</f>
        <v/>
      </c>
      <c r="AA86" s="71"/>
      <c r="AB86" s="71"/>
      <c r="AC86" s="71"/>
      <c r="AD86" s="165"/>
      <c r="AE86" s="71"/>
      <c r="AF86" s="165"/>
      <c r="AG86" s="92"/>
      <c r="AH86" s="92"/>
      <c r="AI86" s="92"/>
      <c r="AJ86" s="92"/>
      <c r="AK86" s="121"/>
      <c r="AL86" s="121"/>
      <c r="AM86" s="121"/>
      <c r="AN86" s="121"/>
      <c r="AO86" s="92"/>
      <c r="AP86" s="130" t="str">
        <f t="shared" si="5"/>
        <v/>
      </c>
      <c r="AQ86" s="121"/>
      <c r="AR86" s="101" t="str">
        <f>IF(OR(SUMPRODUCT(--(AJ86:AQ86&lt;&gt;""))&lt;7,AND($AJ86=マスタ!$N$3,$AK86="")), "",
        IF($AJ86=マスタ!$N$5, $BO$9,
              IF(OR($F86=マスタ!$C$3, $F86=マスタ!$C$4, $F86=マスタ!$C$5),
                    IF(SUM($AL86,$AM86,$AP86,$AQ86)&gt;=1, $BM$9, $BN$9),
              IF(OR($F86=マスタ!$C$6, $F86=マスタ!$C$7, $F86=マスタ!$C$8),
                    IF($AK86&lt;10, $BO$9,
                          IF(AND(SUM($AL86,$AM86,$AP86,$AQ86)&gt;=($AK86*0.2), $AM86+$AP86+$AQ86&gt;=1),
                               $BM$9,$BN$9))))))</f>
        <v/>
      </c>
      <c r="AS86" s="101" t="str">
        <f>IF(OR(SUMPRODUCT(--(AJ86:AQ86&lt;&gt;""))&lt;7,AND($AJ86=マスタ!$N$3,$AK86="")), "",
     IF($AR86=$BN$9,$BN$9,
        IF($AJ86=マスタ!$N$5, $BO$9,
             IF(OR($F86=マスタ!$C$3, $F86=マスタ!$C$4, $F86=マスタ!$C$5),
                   IF($AQ86&gt;=1, $BM$9, $BN$9),
             IF(OR($F86=マスタ!$C$6, $F86=マスタ!$C$7, $F86=マスタ!$C$8),
                   IF($AK86&lt;5, IF($AQ86&gt;=1, $BM$9, $BN$9),
                         IF(OR($AQ86&gt;=1,
                                    AND(SUM($AL86,$AM86,$AP86,$AQ86)&gt;=$AK86*0.5, ($AM86+$AP86+$AQ86)&gt;=($AK86*0.2))),
                              $BM$9,$BN$9)))))))</f>
        <v/>
      </c>
      <c r="AT86" s="66"/>
      <c r="AU86" s="143"/>
      <c r="AV86" s="98" t="str" cm="1">
        <f t="array" aca="1" ref="AV86" ca="1">IF(AND($F86:$G86&lt;&gt;"", $I86:$K86&lt;&gt;"",
                 IF(OR($M86=$BM$9,$O86=$BM$9), TRUE, $L86&lt;&gt;""),
                 $M86&lt;&gt;"",$O86&lt;&gt;"",
                 IF($T86=$BM$9, TRUE, $Q86:$R86&lt;&gt;""),
                 IF(AND($BL86&lt;&gt;"", $BL86&lt;&gt;マスタ!$C$5, $BL86&lt;&gt;マスタ!$C$8), TRUE, $T86&lt;&gt;""),
                 IF(OR(AND($T86=$BM$9,  $Y86=$BO$9), $Y86=$BM$9), TRUE,$W86&lt;&gt;""),
                 IF(AND($BL86&lt;&gt;"", $BL86&lt;&gt;マスタ!$C$5, $BL86&lt;&gt;マスタ!$C$8), TRUE, $Y86&lt;&gt;""),
                 $AA86&lt;&gt;"",
                 IF($AA86=マスタ!$F$4, TRUE, $AB86&lt;&gt;""),
                 $AG86:$AO86&lt;&gt;"", $AQ86&lt;&gt;"", $AT86&lt;&gt;""),
        "（正常）入力済み", IF($C86= "", "（複数入力）未入力", "（エラー）一部未入力"))</f>
        <v>（複数入力）未入力</v>
      </c>
      <c r="AW86" s="98" t="str">
        <f t="shared" ca="1" si="6"/>
        <v/>
      </c>
      <c r="AX86" s="98" t="str">
        <f t="shared" ca="1" si="32"/>
        <v/>
      </c>
      <c r="AY86" s="98" t="str">
        <f t="shared" ca="1" si="33"/>
        <v/>
      </c>
      <c r="AZ86" s="98" t="str">
        <f t="shared" ca="1" si="34"/>
        <v/>
      </c>
      <c r="BA86" s="98" t="str">
        <f t="shared" ca="1" si="35"/>
        <v/>
      </c>
      <c r="BB86" s="98" t="str">
        <f t="shared" ca="1" si="36"/>
        <v/>
      </c>
      <c r="BC86" s="98" t="str">
        <f t="shared" ca="1" si="37"/>
        <v/>
      </c>
      <c r="BD86" s="98" t="str">
        <f t="shared" ca="1" si="38"/>
        <v/>
      </c>
      <c r="BE86" s="98" t="str">
        <f>IF($BL86="","",
   IF($T86=入力不可用2,
      IF(OR($BL86=マスタ!$C$5,$BL86=マスタ!$C$8), "未入力", "（正常）規定値"),
      IF(OR($BL86=マスタ!$C$5,$BL86=マスタ!$C$8), "（正常）規定値", "（エラー）値入力不可")))</f>
        <v/>
      </c>
      <c r="BF86" s="98" t="str">
        <f ca="1">IF($C86 = "", "",
       IF(AND(OR($BL86=マスタ!$C$5, $BL86=マスタ!$C$8), $T86 = ""), "未入力",
            IF(AND($Y86 = $BM$9, $T86 = $BO$9), "（エラー）「適合」のみ入力可", "（正常）規定値")))</f>
        <v/>
      </c>
      <c r="BG86" s="98" t="str">
        <f t="shared" ca="1" si="39"/>
        <v/>
      </c>
      <c r="BH86" s="98" t="str">
        <f t="shared" ca="1" si="40"/>
        <v/>
      </c>
      <c r="BI86" s="98" t="str">
        <f>IF($BL86="","",
   IF($Y86=入力不可用2,
      IF(OR($BL86=マスタ!$C$5,$BL86=マスタ!$C$8), "未入力", "（正常）規定値"),
      IF(OR($BL86=マスタ!$C$5,$BL86=マスタ!$C$8), "（正常）規定値", "（エラー）値入力不可")))</f>
        <v/>
      </c>
      <c r="BJ86" s="98" t="str">
        <f>IF($AA86="", "",
        IF($AA86=マスタ!$F$3,
             IF($AB86="", "未入力", "（正常）規定値"),
                  IF($AA86=マスタ!$F$4,
                       IF($AB86&lt;&gt;入力不可用2, "（エラー）値入力不可", "（正常）規定値"))))</f>
        <v/>
      </c>
      <c r="BL86" s="75" t="str">
        <f>IF(OR($F86 = マスタ!$C$5, F86 = マスタ!$C$8), $F86,
        IF(AND($F86 = マスタ!$C$3, 'その１事業者基本情報_入力シート（一部非公開）'!$U$16), $F86,
             IF(AND($F86 = マスタ!$C$4, 'その１事業者基本情報_入力シート（一部非公開）'!$S$16), $F86,
                  IF(AND(OR($F86 = マスタ!$C$6, $F86 = マスタ!$C$7),
                                'その１事業者基本情報_入力シート（一部非公開）'!$W$16), $F86,
                       IF(OR($F86 = マスタ!$C$3, $F86=マスタ!$C$4), マスタ!$C$5,
                            IF(OR($F86 = マスタ!$C$6, $F86 = マスタ!$C$7), マスタ!$C$8, ""))))))</f>
        <v/>
      </c>
      <c r="BM86" s="75" t="str">
        <f>IF($L86&lt;&gt;"", $L86,
       IF($M86 = マスタ!$B$3,
          IF(OR($F86=マスタ!$C$3,$F86=マスタ!$C$4,$F86=マスタ!$C$5),
            IF(OR($G86 = マスタ!$D$54, $G86 = マスタ!$D$55), 0.75, 0.87),
            IF(OR($G86 = マスタ!$D$54, $G86 = マスタ!$D$55), 0.62, 0.72)),
                 IF(ISBLANK($L86), "", $L86)))</f>
        <v/>
      </c>
      <c r="BN86" s="99" t="str">
        <f>IF($L86&lt;&gt;"", $L86,
        IF($O86 = マスタ!$B$3,
          IF(OR($F86=マスタ!$C$3,$F86=マスタ!$C$4,$F86=マスタ!$C$5), 0.6, 0.5),
             IF(ISBLANK($L86), "", $L86)))</f>
        <v/>
      </c>
      <c r="BO86" s="99" t="str">
        <f>IF($T86&lt;&gt;マスタ!$B$3,
        IF(ISBLANK($S86),"",$S86),
             IF($BL86=マスタ!$C$3,0.8,
             IF($BL86=マスタ!$C$4,0.85,
             IF($BL86=マスタ!$C$6,0.9,
             IF($BL86=マスタ!$C$7,0.9,
             IF($BL86=マスタ!$C$5,1,
             IF($BL86=マスタ!$C$8,1,"無効な入力")))))))</f>
        <v/>
      </c>
      <c r="BP86" s="99" t="str">
        <f>IF($Y86&lt;&gt;マスタ!$B$3,
   IF(ISBLANK($X86), "", $X86),
   IF($BL86=マスタ!$C$3, 0.75,
      IF($BL86=マスタ!$C$4, 0.8,
         IF($BL86=マスタ!$C$6, 0.8,
            IF($BL86=マスタ!$C$7, 0.8,
               IF($BL86=マスタ!$C$5, 0.8,
                  IF($BL86=マスタ!$C$8, 0.8, "無効な入力")))))))</f>
        <v/>
      </c>
      <c r="BQ86" s="75"/>
      <c r="BR86" s="75"/>
      <c r="BS86" s="75"/>
      <c r="BT86" s="75"/>
      <c r="BU86" s="75"/>
      <c r="BV86" s="75"/>
      <c r="BW86" s="75"/>
      <c r="BX86" s="75"/>
      <c r="BY86" s="75"/>
    </row>
    <row r="87" spans="3:77" ht="30.75" customHeight="1">
      <c r="C87" s="69" t="str" cm="1">
        <f t="array" aca="1" ref="C87" ca="1">IF(SUMPRODUCT(--($D87:$AU87 &lt;&gt; "")),RIGHT(YEAR(TODAY()),2)&amp;"01"&amp;REPT("0",4-LEN(ROW()-11))&amp;ROW()-11,"")</f>
        <v/>
      </c>
      <c r="D87" s="141"/>
      <c r="E87" s="142"/>
      <c r="F87" s="71"/>
      <c r="G87" s="66"/>
      <c r="H87" s="41" t="str">
        <f>IFERROR(VLOOKUP(G87,マスタ!$D$3:$E$55,2,FALSE),"")</f>
        <v/>
      </c>
      <c r="I87" s="93"/>
      <c r="J87" s="77"/>
      <c r="K87" s="66"/>
      <c r="L87" s="103"/>
      <c r="M87" s="71"/>
      <c r="N87" s="101" t="str">
        <f>IF($M87 = $BM$9, $BM$9,
        IF($L87 = "", "",
              IF(OR(
                          AND(OR($G87 = マスタ!$D$54, $G87 = マスタ!$D$55), $L87 &lt;= $BP$9),
                          AND($G87 &lt;&gt; マスタ!$D$54, $G87 &lt;&gt; マスタ!$D$55, $L87 &lt;= $BQ$9)
                         ), $BM$9, $BN$9)))</f>
        <v/>
      </c>
      <c r="O87" s="71"/>
      <c r="P87" s="101" t="str">
        <f t="shared" si="31"/>
        <v/>
      </c>
      <c r="Q87" s="124"/>
      <c r="R87" s="124"/>
      <c r="S87" s="112" t="str">
        <f t="shared" si="19"/>
        <v/>
      </c>
      <c r="T87" s="71"/>
      <c r="U87" s="41" t="str">
        <f>IF($T87=$BM$9, $BM$9,
        IF($S87="", "",
             IF(OR(AND($BL87=マスタ!$C$3, $S87&lt;=$BS$9),
                        AND($BL87=マスタ!$C$4, $S87&lt;=$BT$9),
                        AND(OR($BL87=マスタ!$C$6, $BL87=マスタ!$C$7), $S87&lt;=$BU$9),
                        AND(OR($BL87=マスタ!$C$5, $BL87=マスタ!$C$8), $S87&lt;=$BV$9)),
                  $BM$9, $BN$9)))</f>
        <v/>
      </c>
      <c r="V87" s="129" t="str">
        <f t="shared" si="16"/>
        <v/>
      </c>
      <c r="W87" s="124"/>
      <c r="X87" s="112" t="str">
        <f t="shared" si="20"/>
        <v/>
      </c>
      <c r="Y87" s="71"/>
      <c r="Z87" s="41" t="str">
        <f>IF($Y87=$BM$9, $BM$9,
        IF(AND($T87 = $BM$9, $Y87 = $BO$9), $BN$9,
             IF($BL87=マスタ!$C$3,
                  IF($X87&lt;=$BW$9, $BM$9,$BN$9),
                       IF(OR($BL87=マスタ!$C$4, $BL87=マスタ!$C$5, $BL87=マスタ!$C$6, $BL87=マスタ!$C$7, $BL87=マスタ!$C$8),
                            IF($X87&lt;=$BX$9, $BM$9,$BN$9), ""))))</f>
        <v/>
      </c>
      <c r="AA87" s="71"/>
      <c r="AB87" s="71"/>
      <c r="AC87" s="71"/>
      <c r="AD87" s="165"/>
      <c r="AE87" s="71"/>
      <c r="AF87" s="165"/>
      <c r="AG87" s="92"/>
      <c r="AH87" s="92"/>
      <c r="AI87" s="92"/>
      <c r="AJ87" s="92"/>
      <c r="AK87" s="121"/>
      <c r="AL87" s="121"/>
      <c r="AM87" s="121"/>
      <c r="AN87" s="121"/>
      <c r="AO87" s="92"/>
      <c r="AP87" s="130" t="str">
        <f t="shared" si="5"/>
        <v/>
      </c>
      <c r="AQ87" s="121"/>
      <c r="AR87" s="101" t="str">
        <f>IF(OR(SUMPRODUCT(--(AJ87:AQ87&lt;&gt;""))&lt;7,AND($AJ87=マスタ!$N$3,$AK87="")), "",
        IF($AJ87=マスタ!$N$5, $BO$9,
              IF(OR($F87=マスタ!$C$3, $F87=マスタ!$C$4, $F87=マスタ!$C$5),
                    IF(SUM($AL87,$AM87,$AP87,$AQ87)&gt;=1, $BM$9, $BN$9),
              IF(OR($F87=マスタ!$C$6, $F87=マスタ!$C$7, $F87=マスタ!$C$8),
                    IF($AK87&lt;10, $BO$9,
                          IF(AND(SUM($AL87,$AM87,$AP87,$AQ87)&gt;=($AK87*0.2), $AM87+$AP87+$AQ87&gt;=1),
                               $BM$9,$BN$9))))))</f>
        <v/>
      </c>
      <c r="AS87" s="101" t="str">
        <f>IF(OR(SUMPRODUCT(--(AJ87:AQ87&lt;&gt;""))&lt;7,AND($AJ87=マスタ!$N$3,$AK87="")), "",
     IF($AR87=$BN$9,$BN$9,
        IF($AJ87=マスタ!$N$5, $BO$9,
             IF(OR($F87=マスタ!$C$3, $F87=マスタ!$C$4, $F87=マスタ!$C$5),
                   IF($AQ87&gt;=1, $BM$9, $BN$9),
             IF(OR($F87=マスタ!$C$6, $F87=マスタ!$C$7, $F87=マスタ!$C$8),
                   IF($AK87&lt;5, IF($AQ87&gt;=1, $BM$9, $BN$9),
                         IF(OR($AQ87&gt;=1,
                                    AND(SUM($AL87,$AM87,$AP87,$AQ87)&gt;=$AK87*0.5, ($AM87+$AP87+$AQ87)&gt;=($AK87*0.2))),
                              $BM$9,$BN$9)))))))</f>
        <v/>
      </c>
      <c r="AT87" s="66"/>
      <c r="AU87" s="143"/>
      <c r="AV87" s="98" t="str" cm="1">
        <f t="array" aca="1" ref="AV87" ca="1">IF(AND($F87:$G87&lt;&gt;"", $I87:$K87&lt;&gt;"",
                 IF(OR($M87=$BM$9,$O87=$BM$9), TRUE, $L87&lt;&gt;""),
                 $M87&lt;&gt;"",$O87&lt;&gt;"",
                 IF($T87=$BM$9, TRUE, $Q87:$R87&lt;&gt;""),
                 IF(AND($BL87&lt;&gt;"", $BL87&lt;&gt;マスタ!$C$5, $BL87&lt;&gt;マスタ!$C$8), TRUE, $T87&lt;&gt;""),
                 IF(OR(AND($T87=$BM$9,  $Y87=$BO$9), $Y87=$BM$9), TRUE,$W87&lt;&gt;""),
                 IF(AND($BL87&lt;&gt;"", $BL87&lt;&gt;マスタ!$C$5, $BL87&lt;&gt;マスタ!$C$8), TRUE, $Y87&lt;&gt;""),
                 $AA87&lt;&gt;"",
                 IF($AA87=マスタ!$F$4, TRUE, $AB87&lt;&gt;""),
                 $AG87:$AO87&lt;&gt;"", $AQ87&lt;&gt;"", $AT87&lt;&gt;""),
        "（正常）入力済み", IF($C87= "", "（複数入力）未入力", "（エラー）一部未入力"))</f>
        <v>（複数入力）未入力</v>
      </c>
      <c r="AW87" s="98" t="str">
        <f t="shared" ca="1" si="6"/>
        <v/>
      </c>
      <c r="AX87" s="98" t="str">
        <f t="shared" ca="1" si="32"/>
        <v/>
      </c>
      <c r="AY87" s="98" t="str">
        <f t="shared" ca="1" si="33"/>
        <v/>
      </c>
      <c r="AZ87" s="98" t="str">
        <f t="shared" ca="1" si="34"/>
        <v/>
      </c>
      <c r="BA87" s="98" t="str">
        <f t="shared" ca="1" si="35"/>
        <v/>
      </c>
      <c r="BB87" s="98" t="str">
        <f t="shared" ca="1" si="36"/>
        <v/>
      </c>
      <c r="BC87" s="98" t="str">
        <f t="shared" ca="1" si="37"/>
        <v/>
      </c>
      <c r="BD87" s="98" t="str">
        <f t="shared" ca="1" si="38"/>
        <v/>
      </c>
      <c r="BE87" s="98" t="str">
        <f>IF($BL87="","",
   IF($T87=入力不可用2,
      IF(OR($BL87=マスタ!$C$5,$BL87=マスタ!$C$8), "未入力", "（正常）規定値"),
      IF(OR($BL87=マスタ!$C$5,$BL87=マスタ!$C$8), "（正常）規定値", "（エラー）値入力不可")))</f>
        <v/>
      </c>
      <c r="BF87" s="98" t="str">
        <f ca="1">IF($C87 = "", "",
       IF(AND(OR($BL87=マスタ!$C$5, $BL87=マスタ!$C$8), $T87 = ""), "未入力",
            IF(AND($Y87 = $BM$9, $T87 = $BO$9), "（エラー）「適合」のみ入力可", "（正常）規定値")))</f>
        <v/>
      </c>
      <c r="BG87" s="98" t="str">
        <f t="shared" ca="1" si="39"/>
        <v/>
      </c>
      <c r="BH87" s="98" t="str">
        <f t="shared" ca="1" si="40"/>
        <v/>
      </c>
      <c r="BI87" s="98" t="str">
        <f>IF($BL87="","",
   IF($Y87=入力不可用2,
      IF(OR($BL87=マスタ!$C$5,$BL87=マスタ!$C$8), "未入力", "（正常）規定値"),
      IF(OR($BL87=マスタ!$C$5,$BL87=マスタ!$C$8), "（正常）規定値", "（エラー）値入力不可")))</f>
        <v/>
      </c>
      <c r="BJ87" s="98" t="str">
        <f>IF($AA87="", "",
        IF($AA87=マスタ!$F$3,
             IF($AB87="", "未入力", "（正常）規定値"),
                  IF($AA87=マスタ!$F$4,
                       IF($AB87&lt;&gt;入力不可用2, "（エラー）値入力不可", "（正常）規定値"))))</f>
        <v/>
      </c>
      <c r="BL87" s="75" t="str">
        <f>IF(OR($F87 = マスタ!$C$5, F87 = マスタ!$C$8), $F87,
        IF(AND($F87 = マスタ!$C$3, 'その１事業者基本情報_入力シート（一部非公開）'!$U$16), $F87,
             IF(AND($F87 = マスタ!$C$4, 'その１事業者基本情報_入力シート（一部非公開）'!$S$16), $F87,
                  IF(AND(OR($F87 = マスタ!$C$6, $F87 = マスタ!$C$7),
                                'その１事業者基本情報_入力シート（一部非公開）'!$W$16), $F87,
                       IF(OR($F87 = マスタ!$C$3, $F87=マスタ!$C$4), マスタ!$C$5,
                            IF(OR($F87 = マスタ!$C$6, $F87 = マスタ!$C$7), マスタ!$C$8, ""))))))</f>
        <v/>
      </c>
      <c r="BM87" s="75" t="str">
        <f>IF($L87&lt;&gt;"", $L87,
       IF($M87 = マスタ!$B$3,
          IF(OR($F87=マスタ!$C$3,$F87=マスタ!$C$4,$F87=マスタ!$C$5),
            IF(OR($G87 = マスタ!$D$54, $G87 = マスタ!$D$55), 0.75, 0.87),
            IF(OR($G87 = マスタ!$D$54, $G87 = マスタ!$D$55), 0.62, 0.72)),
                 IF(ISBLANK($L87), "", $L87)))</f>
        <v/>
      </c>
      <c r="BN87" s="99" t="str">
        <f>IF($L87&lt;&gt;"", $L87,
        IF($O87 = マスタ!$B$3,
          IF(OR($F87=マスタ!$C$3,$F87=マスタ!$C$4,$F87=マスタ!$C$5), 0.6, 0.5),
             IF(ISBLANK($L87), "", $L87)))</f>
        <v/>
      </c>
      <c r="BO87" s="99" t="str">
        <f>IF($T87&lt;&gt;マスタ!$B$3,
        IF(ISBLANK($S87),"",$S87),
             IF($BL87=マスタ!$C$3,0.8,
             IF($BL87=マスタ!$C$4,0.85,
             IF($BL87=マスタ!$C$6,0.9,
             IF($BL87=マスタ!$C$7,0.9,
             IF($BL87=マスタ!$C$5,1,
             IF($BL87=マスタ!$C$8,1,"無効な入力")))))))</f>
        <v/>
      </c>
      <c r="BP87" s="99" t="str">
        <f>IF($Y87&lt;&gt;マスタ!$B$3,
   IF(ISBLANK($X87), "", $X87),
   IF($BL87=マスタ!$C$3, 0.75,
      IF($BL87=マスタ!$C$4, 0.8,
         IF($BL87=マスタ!$C$6, 0.8,
            IF($BL87=マスタ!$C$7, 0.8,
               IF($BL87=マスタ!$C$5, 0.8,
                  IF($BL87=マスタ!$C$8, 0.8, "無効な入力")))))))</f>
        <v/>
      </c>
      <c r="BQ87" s="75"/>
      <c r="BR87" s="75"/>
      <c r="BS87" s="75"/>
      <c r="BT87" s="75"/>
      <c r="BU87" s="75"/>
      <c r="BV87" s="75"/>
      <c r="BW87" s="75"/>
      <c r="BX87" s="75"/>
      <c r="BY87" s="75"/>
    </row>
    <row r="88" spans="3:77" ht="30.75" customHeight="1">
      <c r="C88" s="69" t="str" cm="1">
        <f t="array" aca="1" ref="C88" ca="1">IF(SUMPRODUCT(--($D88:$AU88 &lt;&gt; "")),RIGHT(YEAR(TODAY()),2)&amp;"01"&amp;REPT("0",4-LEN(ROW()-11))&amp;ROW()-11,"")</f>
        <v/>
      </c>
      <c r="D88" s="141"/>
      <c r="E88" s="142"/>
      <c r="F88" s="71"/>
      <c r="G88" s="66"/>
      <c r="H88" s="41" t="str">
        <f>IFERROR(VLOOKUP(G88,マスタ!$D$3:$E$55,2,FALSE),"")</f>
        <v/>
      </c>
      <c r="I88" s="93"/>
      <c r="J88" s="77"/>
      <c r="K88" s="66"/>
      <c r="L88" s="103"/>
      <c r="M88" s="71"/>
      <c r="N88" s="101" t="str">
        <f>IF($M88 = $BM$9, $BM$9,
        IF($L88 = "", "",
              IF(OR(
                          AND(OR($G88 = マスタ!$D$54, $G88 = マスタ!$D$55), $L88 &lt;= $BP$9),
                          AND($G88 &lt;&gt; マスタ!$D$54, $G88 &lt;&gt; マスタ!$D$55, $L88 &lt;= $BQ$9)
                         ), $BM$9, $BN$9)))</f>
        <v/>
      </c>
      <c r="O88" s="71"/>
      <c r="P88" s="101" t="str">
        <f t="shared" si="31"/>
        <v/>
      </c>
      <c r="Q88" s="124"/>
      <c r="R88" s="124"/>
      <c r="S88" s="112" t="str">
        <f t="shared" si="19"/>
        <v/>
      </c>
      <c r="T88" s="71"/>
      <c r="U88" s="41" t="str">
        <f>IF($T88=$BM$9, $BM$9,
        IF($S88="", "",
             IF(OR(AND($BL88=マスタ!$C$3, $S88&lt;=$BS$9),
                        AND($BL88=マスタ!$C$4, $S88&lt;=$BT$9),
                        AND(OR($BL88=マスタ!$C$6, $BL88=マスタ!$C$7), $S88&lt;=$BU$9),
                        AND(OR($BL88=マスタ!$C$5, $BL88=マスタ!$C$8), $S88&lt;=$BV$9)),
                  $BM$9, $BN$9)))</f>
        <v/>
      </c>
      <c r="V88" s="129" t="str">
        <f t="shared" si="16"/>
        <v/>
      </c>
      <c r="W88" s="124"/>
      <c r="X88" s="112" t="str">
        <f t="shared" si="20"/>
        <v/>
      </c>
      <c r="Y88" s="71"/>
      <c r="Z88" s="41" t="str">
        <f>IF($Y88=$BM$9, $BM$9,
        IF(AND($T88 = $BM$9, $Y88 = $BO$9), $BN$9,
             IF($BL88=マスタ!$C$3,
                  IF($X88&lt;=$BW$9, $BM$9,$BN$9),
                       IF(OR($BL88=マスタ!$C$4, $BL88=マスタ!$C$5, $BL88=マスタ!$C$6, $BL88=マスタ!$C$7, $BL88=マスタ!$C$8),
                            IF($X88&lt;=$BX$9, $BM$9,$BN$9), ""))))</f>
        <v/>
      </c>
      <c r="AA88" s="71"/>
      <c r="AB88" s="71"/>
      <c r="AC88" s="71"/>
      <c r="AD88" s="165"/>
      <c r="AE88" s="71"/>
      <c r="AF88" s="165"/>
      <c r="AG88" s="92"/>
      <c r="AH88" s="92"/>
      <c r="AI88" s="92"/>
      <c r="AJ88" s="92"/>
      <c r="AK88" s="121"/>
      <c r="AL88" s="121"/>
      <c r="AM88" s="121"/>
      <c r="AN88" s="121"/>
      <c r="AO88" s="92"/>
      <c r="AP88" s="130" t="str">
        <f t="shared" si="5"/>
        <v/>
      </c>
      <c r="AQ88" s="121"/>
      <c r="AR88" s="101" t="str">
        <f>IF(OR(SUMPRODUCT(--(AJ88:AQ88&lt;&gt;""))&lt;7,AND($AJ88=マスタ!$N$3,$AK88="")), "",
        IF($AJ88=マスタ!$N$5, $BO$9,
              IF(OR($F88=マスタ!$C$3, $F88=マスタ!$C$4, $F88=マスタ!$C$5),
                    IF(SUM($AL88,$AM88,$AP88,$AQ88)&gt;=1, $BM$9, $BN$9),
              IF(OR($F88=マスタ!$C$6, $F88=マスタ!$C$7, $F88=マスタ!$C$8),
                    IF($AK88&lt;10, $BO$9,
                          IF(AND(SUM($AL88,$AM88,$AP88,$AQ88)&gt;=($AK88*0.2), $AM88+$AP88+$AQ88&gt;=1),
                               $BM$9,$BN$9))))))</f>
        <v/>
      </c>
      <c r="AS88" s="101" t="str">
        <f>IF(OR(SUMPRODUCT(--(AJ88:AQ88&lt;&gt;""))&lt;7,AND($AJ88=マスタ!$N$3,$AK88="")), "",
     IF($AR88=$BN$9,$BN$9,
        IF($AJ88=マスタ!$N$5, $BO$9,
             IF(OR($F88=マスタ!$C$3, $F88=マスタ!$C$4, $F88=マスタ!$C$5),
                   IF($AQ88&gt;=1, $BM$9, $BN$9),
             IF(OR($F88=マスタ!$C$6, $F88=マスタ!$C$7, $F88=マスタ!$C$8),
                   IF($AK88&lt;5, IF($AQ88&gt;=1, $BM$9, $BN$9),
                         IF(OR($AQ88&gt;=1,
                                    AND(SUM($AL88,$AM88,$AP88,$AQ88)&gt;=$AK88*0.5, ($AM88+$AP88+$AQ88)&gt;=($AK88*0.2))),
                              $BM$9,$BN$9)))))))</f>
        <v/>
      </c>
      <c r="AT88" s="66"/>
      <c r="AU88" s="143"/>
      <c r="AV88" s="98" t="str" cm="1">
        <f t="array" aca="1" ref="AV88" ca="1">IF(AND($F88:$G88&lt;&gt;"", $I88:$K88&lt;&gt;"",
                 IF(OR($M88=$BM$9,$O88=$BM$9), TRUE, $L88&lt;&gt;""),
                 $M88&lt;&gt;"",$O88&lt;&gt;"",
                 IF($T88=$BM$9, TRUE, $Q88:$R88&lt;&gt;""),
                 IF(AND($BL88&lt;&gt;"", $BL88&lt;&gt;マスタ!$C$5, $BL88&lt;&gt;マスタ!$C$8), TRUE, $T88&lt;&gt;""),
                 IF(OR(AND($T88=$BM$9,  $Y88=$BO$9), $Y88=$BM$9), TRUE,$W88&lt;&gt;""),
                 IF(AND($BL88&lt;&gt;"", $BL88&lt;&gt;マスタ!$C$5, $BL88&lt;&gt;マスタ!$C$8), TRUE, $Y88&lt;&gt;""),
                 $AA88&lt;&gt;"",
                 IF($AA88=マスタ!$F$4, TRUE, $AB88&lt;&gt;""),
                 $AG88:$AO88&lt;&gt;"", $AQ88&lt;&gt;"", $AT88&lt;&gt;""),
        "（正常）入力済み", IF($C88= "", "（複数入力）未入力", "（エラー）一部未入力"))</f>
        <v>（複数入力）未入力</v>
      </c>
      <c r="AW88" s="98" t="str">
        <f t="shared" ca="1" si="6"/>
        <v/>
      </c>
      <c r="AX88" s="98" t="str">
        <f t="shared" ca="1" si="32"/>
        <v/>
      </c>
      <c r="AY88" s="98" t="str">
        <f t="shared" ca="1" si="33"/>
        <v/>
      </c>
      <c r="AZ88" s="98" t="str">
        <f t="shared" ca="1" si="34"/>
        <v/>
      </c>
      <c r="BA88" s="98" t="str">
        <f t="shared" ca="1" si="35"/>
        <v/>
      </c>
      <c r="BB88" s="98" t="str">
        <f t="shared" ca="1" si="36"/>
        <v/>
      </c>
      <c r="BC88" s="98" t="str">
        <f t="shared" ca="1" si="37"/>
        <v/>
      </c>
      <c r="BD88" s="98" t="str">
        <f t="shared" ca="1" si="38"/>
        <v/>
      </c>
      <c r="BE88" s="98" t="str">
        <f>IF($BL88="","",
   IF($T88=入力不可用2,
      IF(OR($BL88=マスタ!$C$5,$BL88=マスタ!$C$8), "未入力", "（正常）規定値"),
      IF(OR($BL88=マスタ!$C$5,$BL88=マスタ!$C$8), "（正常）規定値", "（エラー）値入力不可")))</f>
        <v/>
      </c>
      <c r="BF88" s="98" t="str">
        <f ca="1">IF($C88 = "", "",
       IF(AND(OR($BL88=マスタ!$C$5, $BL88=マスタ!$C$8), $T88 = ""), "未入力",
            IF(AND($Y88 = $BM$9, $T88 = $BO$9), "（エラー）「適合」のみ入力可", "（正常）規定値")))</f>
        <v/>
      </c>
      <c r="BG88" s="98" t="str">
        <f t="shared" ca="1" si="39"/>
        <v/>
      </c>
      <c r="BH88" s="98" t="str">
        <f t="shared" ca="1" si="40"/>
        <v/>
      </c>
      <c r="BI88" s="98" t="str">
        <f>IF($BL88="","",
   IF($Y88=入力不可用2,
      IF(OR($BL88=マスタ!$C$5,$BL88=マスタ!$C$8), "未入力", "（正常）規定値"),
      IF(OR($BL88=マスタ!$C$5,$BL88=マスタ!$C$8), "（正常）規定値", "（エラー）値入力不可")))</f>
        <v/>
      </c>
      <c r="BJ88" s="98" t="str">
        <f>IF($AA88="", "",
        IF($AA88=マスタ!$F$3,
             IF($AB88="", "未入力", "（正常）規定値"),
                  IF($AA88=マスタ!$F$4,
                       IF($AB88&lt;&gt;入力不可用2, "（エラー）値入力不可", "（正常）規定値"))))</f>
        <v/>
      </c>
      <c r="BL88" s="75" t="str">
        <f>IF(OR($F88 = マスタ!$C$5, F88 = マスタ!$C$8), $F88,
        IF(AND($F88 = マスタ!$C$3, 'その１事業者基本情報_入力シート（一部非公開）'!$U$16), $F88,
             IF(AND($F88 = マスタ!$C$4, 'その１事業者基本情報_入力シート（一部非公開）'!$S$16), $F88,
                  IF(AND(OR($F88 = マスタ!$C$6, $F88 = マスタ!$C$7),
                                'その１事業者基本情報_入力シート（一部非公開）'!$W$16), $F88,
                       IF(OR($F88 = マスタ!$C$3, $F88=マスタ!$C$4), マスタ!$C$5,
                            IF(OR($F88 = マスタ!$C$6, $F88 = マスタ!$C$7), マスタ!$C$8, ""))))))</f>
        <v/>
      </c>
      <c r="BM88" s="75" t="str">
        <f>IF($L88&lt;&gt;"", $L88,
       IF($M88 = マスタ!$B$3,
          IF(OR($F88=マスタ!$C$3,$F88=マスタ!$C$4,$F88=マスタ!$C$5),
            IF(OR($G88 = マスタ!$D$54, $G88 = マスタ!$D$55), 0.75, 0.87),
            IF(OR($G88 = マスタ!$D$54, $G88 = マスタ!$D$55), 0.62, 0.72)),
                 IF(ISBLANK($L88), "", $L88)))</f>
        <v/>
      </c>
      <c r="BN88" s="99" t="str">
        <f>IF($L88&lt;&gt;"", $L88,
        IF($O88 = マスタ!$B$3,
          IF(OR($F88=マスタ!$C$3,$F88=マスタ!$C$4,$F88=マスタ!$C$5), 0.6, 0.5),
             IF(ISBLANK($L88), "", $L88)))</f>
        <v/>
      </c>
      <c r="BO88" s="99" t="str">
        <f>IF($T88&lt;&gt;マスタ!$B$3,
        IF(ISBLANK($S88),"",$S88),
             IF($BL88=マスタ!$C$3,0.8,
             IF($BL88=マスタ!$C$4,0.85,
             IF($BL88=マスタ!$C$6,0.9,
             IF($BL88=マスタ!$C$7,0.9,
             IF($BL88=マスタ!$C$5,1,
             IF($BL88=マスタ!$C$8,1,"無効な入力")))))))</f>
        <v/>
      </c>
      <c r="BP88" s="99" t="str">
        <f>IF($Y88&lt;&gt;マスタ!$B$3,
   IF(ISBLANK($X88), "", $X88),
   IF($BL88=マスタ!$C$3, 0.75,
      IF($BL88=マスタ!$C$4, 0.8,
         IF($BL88=マスタ!$C$6, 0.8,
            IF($BL88=マスタ!$C$7, 0.8,
               IF($BL88=マスタ!$C$5, 0.8,
                  IF($BL88=マスタ!$C$8, 0.8, "無効な入力")))))))</f>
        <v/>
      </c>
      <c r="BQ88" s="75"/>
      <c r="BR88" s="75"/>
      <c r="BS88" s="75"/>
      <c r="BT88" s="75"/>
      <c r="BU88" s="75"/>
      <c r="BV88" s="75"/>
      <c r="BW88" s="75"/>
      <c r="BX88" s="75"/>
      <c r="BY88" s="75"/>
    </row>
    <row r="89" spans="3:77" ht="30.75" customHeight="1">
      <c r="C89" s="69" t="str" cm="1">
        <f t="array" aca="1" ref="C89" ca="1">IF(SUMPRODUCT(--($D89:$AU89 &lt;&gt; "")),RIGHT(YEAR(TODAY()),2)&amp;"01"&amp;REPT("0",4-LEN(ROW()-11))&amp;ROW()-11,"")</f>
        <v/>
      </c>
      <c r="D89" s="141"/>
      <c r="E89" s="142"/>
      <c r="F89" s="71"/>
      <c r="G89" s="66"/>
      <c r="H89" s="41" t="str">
        <f>IFERROR(VLOOKUP(G89,マスタ!$D$3:$E$55,2,FALSE),"")</f>
        <v/>
      </c>
      <c r="I89" s="93"/>
      <c r="J89" s="77"/>
      <c r="K89" s="66"/>
      <c r="L89" s="103"/>
      <c r="M89" s="71"/>
      <c r="N89" s="101" t="str">
        <f>IF($M89 = $BM$9, $BM$9,
        IF($L89 = "", "",
              IF(OR(
                          AND(OR($G89 = マスタ!$D$54, $G89 = マスタ!$D$55), $L89 &lt;= $BP$9),
                          AND($G89 &lt;&gt; マスタ!$D$54, $G89 &lt;&gt; マスタ!$D$55, $L89 &lt;= $BQ$9)
                         ), $BM$9, $BN$9)))</f>
        <v/>
      </c>
      <c r="O89" s="71"/>
      <c r="P89" s="101" t="str">
        <f t="shared" si="31"/>
        <v/>
      </c>
      <c r="Q89" s="124"/>
      <c r="R89" s="124"/>
      <c r="S89" s="112" t="str">
        <f t="shared" si="19"/>
        <v/>
      </c>
      <c r="T89" s="71"/>
      <c r="U89" s="41" t="str">
        <f>IF($T89=$BM$9, $BM$9,
        IF($S89="", "",
             IF(OR(AND($BL89=マスタ!$C$3, $S89&lt;=$BS$9),
                        AND($BL89=マスタ!$C$4, $S89&lt;=$BT$9),
                        AND(OR($BL89=マスタ!$C$6, $BL89=マスタ!$C$7), $S89&lt;=$BU$9),
                        AND(OR($BL89=マスタ!$C$5, $BL89=マスタ!$C$8), $S89&lt;=$BV$9)),
                  $BM$9, $BN$9)))</f>
        <v/>
      </c>
      <c r="V89" s="129" t="str">
        <f t="shared" si="16"/>
        <v/>
      </c>
      <c r="W89" s="124"/>
      <c r="X89" s="112" t="str">
        <f t="shared" si="20"/>
        <v/>
      </c>
      <c r="Y89" s="71"/>
      <c r="Z89" s="41" t="str">
        <f>IF($Y89=$BM$9, $BM$9,
        IF(AND($T89 = $BM$9, $Y89 = $BO$9), $BN$9,
             IF($BL89=マスタ!$C$3,
                  IF($X89&lt;=$BW$9, $BM$9,$BN$9),
                       IF(OR($BL89=マスタ!$C$4, $BL89=マスタ!$C$5, $BL89=マスタ!$C$6, $BL89=マスタ!$C$7, $BL89=マスタ!$C$8),
                            IF($X89&lt;=$BX$9, $BM$9,$BN$9), ""))))</f>
        <v/>
      </c>
      <c r="AA89" s="71"/>
      <c r="AB89" s="71"/>
      <c r="AC89" s="71"/>
      <c r="AD89" s="165"/>
      <c r="AE89" s="71"/>
      <c r="AF89" s="165"/>
      <c r="AG89" s="92"/>
      <c r="AH89" s="92"/>
      <c r="AI89" s="92"/>
      <c r="AJ89" s="92"/>
      <c r="AK89" s="121"/>
      <c r="AL89" s="121"/>
      <c r="AM89" s="121"/>
      <c r="AN89" s="121"/>
      <c r="AO89" s="92"/>
      <c r="AP89" s="130" t="str">
        <f t="shared" si="5"/>
        <v/>
      </c>
      <c r="AQ89" s="121"/>
      <c r="AR89" s="101" t="str">
        <f>IF(OR(SUMPRODUCT(--(AJ89:AQ89&lt;&gt;""))&lt;7,AND($AJ89=マスタ!$N$3,$AK89="")), "",
        IF($AJ89=マスタ!$N$5, $BO$9,
              IF(OR($F89=マスタ!$C$3, $F89=マスタ!$C$4, $F89=マスタ!$C$5),
                    IF(SUM($AL89,$AM89,$AP89,$AQ89)&gt;=1, $BM$9, $BN$9),
              IF(OR($F89=マスタ!$C$6, $F89=マスタ!$C$7, $F89=マスタ!$C$8),
                    IF($AK89&lt;10, $BO$9,
                          IF(AND(SUM($AL89,$AM89,$AP89,$AQ89)&gt;=($AK89*0.2), $AM89+$AP89+$AQ89&gt;=1),
                               $BM$9,$BN$9))))))</f>
        <v/>
      </c>
      <c r="AS89" s="101" t="str">
        <f>IF(OR(SUMPRODUCT(--(AJ89:AQ89&lt;&gt;""))&lt;7,AND($AJ89=マスタ!$N$3,$AK89="")), "",
     IF($AR89=$BN$9,$BN$9,
        IF($AJ89=マスタ!$N$5, $BO$9,
             IF(OR($F89=マスタ!$C$3, $F89=マスタ!$C$4, $F89=マスタ!$C$5),
                   IF($AQ89&gt;=1, $BM$9, $BN$9),
             IF(OR($F89=マスタ!$C$6, $F89=マスタ!$C$7, $F89=マスタ!$C$8),
                   IF($AK89&lt;5, IF($AQ89&gt;=1, $BM$9, $BN$9),
                         IF(OR($AQ89&gt;=1,
                                    AND(SUM($AL89,$AM89,$AP89,$AQ89)&gt;=$AK89*0.5, ($AM89+$AP89+$AQ89)&gt;=($AK89*0.2))),
                              $BM$9,$BN$9)))))))</f>
        <v/>
      </c>
      <c r="AT89" s="66"/>
      <c r="AU89" s="143"/>
      <c r="AV89" s="98" t="str" cm="1">
        <f t="array" aca="1" ref="AV89" ca="1">IF(AND($F89:$G89&lt;&gt;"", $I89:$K89&lt;&gt;"",
                 IF(OR($M89=$BM$9,$O89=$BM$9), TRUE, $L89&lt;&gt;""),
                 $M89&lt;&gt;"",$O89&lt;&gt;"",
                 IF($T89=$BM$9, TRUE, $Q89:$R89&lt;&gt;""),
                 IF(AND($BL89&lt;&gt;"", $BL89&lt;&gt;マスタ!$C$5, $BL89&lt;&gt;マスタ!$C$8), TRUE, $T89&lt;&gt;""),
                 IF(OR(AND($T89=$BM$9,  $Y89=$BO$9), $Y89=$BM$9), TRUE,$W89&lt;&gt;""),
                 IF(AND($BL89&lt;&gt;"", $BL89&lt;&gt;マスタ!$C$5, $BL89&lt;&gt;マスタ!$C$8), TRUE, $Y89&lt;&gt;""),
                 $AA89&lt;&gt;"",
                 IF($AA89=マスタ!$F$4, TRUE, $AB89&lt;&gt;""),
                 $AG89:$AO89&lt;&gt;"", $AQ89&lt;&gt;"", $AT89&lt;&gt;""),
        "（正常）入力済み", IF($C89= "", "（複数入力）未入力", "（エラー）一部未入力"))</f>
        <v>（複数入力）未入力</v>
      </c>
      <c r="AW89" s="98" t="str">
        <f t="shared" ca="1" si="6"/>
        <v/>
      </c>
      <c r="AX89" s="98" t="str">
        <f t="shared" ca="1" si="32"/>
        <v/>
      </c>
      <c r="AY89" s="98" t="str">
        <f t="shared" ca="1" si="33"/>
        <v/>
      </c>
      <c r="AZ89" s="98" t="str">
        <f t="shared" ca="1" si="34"/>
        <v/>
      </c>
      <c r="BA89" s="98" t="str">
        <f t="shared" ca="1" si="35"/>
        <v/>
      </c>
      <c r="BB89" s="98" t="str">
        <f t="shared" ca="1" si="36"/>
        <v/>
      </c>
      <c r="BC89" s="98" t="str">
        <f t="shared" ca="1" si="37"/>
        <v/>
      </c>
      <c r="BD89" s="98" t="str">
        <f t="shared" ca="1" si="38"/>
        <v/>
      </c>
      <c r="BE89" s="98" t="str">
        <f>IF($BL89="","",
   IF($T89=入力不可用2,
      IF(OR($BL89=マスタ!$C$5,$BL89=マスタ!$C$8), "未入力", "（正常）規定値"),
      IF(OR($BL89=マスタ!$C$5,$BL89=マスタ!$C$8), "（正常）規定値", "（エラー）値入力不可")))</f>
        <v/>
      </c>
      <c r="BF89" s="98" t="str">
        <f ca="1">IF($C89 = "", "",
       IF(AND(OR($BL89=マスタ!$C$5, $BL89=マスタ!$C$8), $T89 = ""), "未入力",
            IF(AND($Y89 = $BM$9, $T89 = $BO$9), "（エラー）「適合」のみ入力可", "（正常）規定値")))</f>
        <v/>
      </c>
      <c r="BG89" s="98" t="str">
        <f t="shared" ca="1" si="39"/>
        <v/>
      </c>
      <c r="BH89" s="98" t="str">
        <f t="shared" ca="1" si="40"/>
        <v/>
      </c>
      <c r="BI89" s="98" t="str">
        <f>IF($BL89="","",
   IF($Y89=入力不可用2,
      IF(OR($BL89=マスタ!$C$5,$BL89=マスタ!$C$8), "未入力", "（正常）規定値"),
      IF(OR($BL89=マスタ!$C$5,$BL89=マスタ!$C$8), "（正常）規定値", "（エラー）値入力不可")))</f>
        <v/>
      </c>
      <c r="BJ89" s="98" t="str">
        <f>IF($AA89="", "",
        IF($AA89=マスタ!$F$3,
             IF($AB89="", "未入力", "（正常）規定値"),
                  IF($AA89=マスタ!$F$4,
                       IF($AB89&lt;&gt;入力不可用2, "（エラー）値入力不可", "（正常）規定値"))))</f>
        <v/>
      </c>
      <c r="BL89" s="75" t="str">
        <f>IF(OR($F89 = マスタ!$C$5, F89 = マスタ!$C$8), $F89,
        IF(AND($F89 = マスタ!$C$3, 'その１事業者基本情報_入力シート（一部非公開）'!$U$16), $F89,
             IF(AND($F89 = マスタ!$C$4, 'その１事業者基本情報_入力シート（一部非公開）'!$S$16), $F89,
                  IF(AND(OR($F89 = マスタ!$C$6, $F89 = マスタ!$C$7),
                                'その１事業者基本情報_入力シート（一部非公開）'!$W$16), $F89,
                       IF(OR($F89 = マスタ!$C$3, $F89=マスタ!$C$4), マスタ!$C$5,
                            IF(OR($F89 = マスタ!$C$6, $F89 = マスタ!$C$7), マスタ!$C$8, ""))))))</f>
        <v/>
      </c>
      <c r="BM89" s="75" t="str">
        <f>IF($L89&lt;&gt;"", $L89,
       IF($M89 = マスタ!$B$3,
          IF(OR($F89=マスタ!$C$3,$F89=マスタ!$C$4,$F89=マスタ!$C$5),
            IF(OR($G89 = マスタ!$D$54, $G89 = マスタ!$D$55), 0.75, 0.87),
            IF(OR($G89 = マスタ!$D$54, $G89 = マスタ!$D$55), 0.62, 0.72)),
                 IF(ISBLANK($L89), "", $L89)))</f>
        <v/>
      </c>
      <c r="BN89" s="99" t="str">
        <f>IF($L89&lt;&gt;"", $L89,
        IF($O89 = マスタ!$B$3,
          IF(OR($F89=マスタ!$C$3,$F89=マスタ!$C$4,$F89=マスタ!$C$5), 0.6, 0.5),
             IF(ISBLANK($L89), "", $L89)))</f>
        <v/>
      </c>
      <c r="BO89" s="99" t="str">
        <f>IF($T89&lt;&gt;マスタ!$B$3,
        IF(ISBLANK($S89),"",$S89),
             IF($BL89=マスタ!$C$3,0.8,
             IF($BL89=マスタ!$C$4,0.85,
             IF($BL89=マスタ!$C$6,0.9,
             IF($BL89=マスタ!$C$7,0.9,
             IF($BL89=マスタ!$C$5,1,
             IF($BL89=マスタ!$C$8,1,"無効な入力")))))))</f>
        <v/>
      </c>
      <c r="BP89" s="99" t="str">
        <f>IF($Y89&lt;&gt;マスタ!$B$3,
   IF(ISBLANK($X89), "", $X89),
   IF($BL89=マスタ!$C$3, 0.75,
      IF($BL89=マスタ!$C$4, 0.8,
         IF($BL89=マスタ!$C$6, 0.8,
            IF($BL89=マスタ!$C$7, 0.8,
               IF($BL89=マスタ!$C$5, 0.8,
                  IF($BL89=マスタ!$C$8, 0.8, "無効な入力")))))))</f>
        <v/>
      </c>
      <c r="BQ89" s="75"/>
      <c r="BR89" s="75"/>
      <c r="BS89" s="75"/>
      <c r="BT89" s="75"/>
      <c r="BU89" s="75"/>
      <c r="BV89" s="75"/>
      <c r="BW89" s="75"/>
      <c r="BX89" s="75"/>
      <c r="BY89" s="75"/>
    </row>
    <row r="90" spans="3:77" ht="30.75" customHeight="1">
      <c r="C90" s="69" t="str" cm="1">
        <f t="array" aca="1" ref="C90" ca="1">IF(SUMPRODUCT(--($D90:$AU90 &lt;&gt; "")),RIGHT(YEAR(TODAY()),2)&amp;"01"&amp;REPT("0",4-LEN(ROW()-11))&amp;ROW()-11,"")</f>
        <v/>
      </c>
      <c r="D90" s="141"/>
      <c r="E90" s="142"/>
      <c r="F90" s="71"/>
      <c r="G90" s="66"/>
      <c r="H90" s="41" t="str">
        <f>IFERROR(VLOOKUP(G90,マスタ!$D$3:$E$55,2,FALSE),"")</f>
        <v/>
      </c>
      <c r="I90" s="93"/>
      <c r="J90" s="77"/>
      <c r="K90" s="66"/>
      <c r="L90" s="103"/>
      <c r="M90" s="71"/>
      <c r="N90" s="101" t="str">
        <f>IF($M90 = $BM$9, $BM$9,
        IF($L90 = "", "",
              IF(OR(
                          AND(OR($G90 = マスタ!$D$54, $G90 = マスタ!$D$55), $L90 &lt;= $BP$9),
                          AND($G90 &lt;&gt; マスタ!$D$54, $G90 &lt;&gt; マスタ!$D$55, $L90 &lt;= $BQ$9)
                         ), $BM$9, $BN$9)))</f>
        <v/>
      </c>
      <c r="O90" s="71"/>
      <c r="P90" s="101" t="str">
        <f t="shared" si="31"/>
        <v/>
      </c>
      <c r="Q90" s="124"/>
      <c r="R90" s="124"/>
      <c r="S90" s="112" t="str">
        <f t="shared" si="19"/>
        <v/>
      </c>
      <c r="T90" s="71"/>
      <c r="U90" s="41" t="str">
        <f>IF($T90=$BM$9, $BM$9,
        IF($S90="", "",
             IF(OR(AND($BL90=マスタ!$C$3, $S90&lt;=$BS$9),
                        AND($BL90=マスタ!$C$4, $S90&lt;=$BT$9),
                        AND(OR($BL90=マスタ!$C$6, $BL90=マスタ!$C$7), $S90&lt;=$BU$9),
                        AND(OR($BL90=マスタ!$C$5, $BL90=マスタ!$C$8), $S90&lt;=$BV$9)),
                  $BM$9, $BN$9)))</f>
        <v/>
      </c>
      <c r="V90" s="129" t="str">
        <f t="shared" si="16"/>
        <v/>
      </c>
      <c r="W90" s="124"/>
      <c r="X90" s="112" t="str">
        <f t="shared" si="20"/>
        <v/>
      </c>
      <c r="Y90" s="71"/>
      <c r="Z90" s="41" t="str">
        <f>IF($Y90=$BM$9, $BM$9,
        IF(AND($T90 = $BM$9, $Y90 = $BO$9), $BN$9,
             IF($BL90=マスタ!$C$3,
                  IF($X90&lt;=$BW$9, $BM$9,$BN$9),
                       IF(OR($BL90=マスタ!$C$4, $BL90=マスタ!$C$5, $BL90=マスタ!$C$6, $BL90=マスタ!$C$7, $BL90=マスタ!$C$8),
                            IF($X90&lt;=$BX$9, $BM$9,$BN$9), ""))))</f>
        <v/>
      </c>
      <c r="AA90" s="71"/>
      <c r="AB90" s="71"/>
      <c r="AC90" s="71"/>
      <c r="AD90" s="165"/>
      <c r="AE90" s="71"/>
      <c r="AF90" s="165"/>
      <c r="AG90" s="92"/>
      <c r="AH90" s="92"/>
      <c r="AI90" s="92"/>
      <c r="AJ90" s="92"/>
      <c r="AK90" s="121"/>
      <c r="AL90" s="121"/>
      <c r="AM90" s="121"/>
      <c r="AN90" s="121"/>
      <c r="AO90" s="92"/>
      <c r="AP90" s="130" t="str">
        <f t="shared" si="5"/>
        <v/>
      </c>
      <c r="AQ90" s="121"/>
      <c r="AR90" s="101" t="str">
        <f>IF(OR(SUMPRODUCT(--(AJ90:AQ90&lt;&gt;""))&lt;7,AND($AJ90=マスタ!$N$3,$AK90="")), "",
        IF($AJ90=マスタ!$N$5, $BO$9,
              IF(OR($F90=マスタ!$C$3, $F90=マスタ!$C$4, $F90=マスタ!$C$5),
                    IF(SUM($AL90,$AM90,$AP90,$AQ90)&gt;=1, $BM$9, $BN$9),
              IF(OR($F90=マスタ!$C$6, $F90=マスタ!$C$7, $F90=マスタ!$C$8),
                    IF($AK90&lt;10, $BO$9,
                          IF(AND(SUM($AL90,$AM90,$AP90,$AQ90)&gt;=($AK90*0.2), $AM90+$AP90+$AQ90&gt;=1),
                               $BM$9,$BN$9))))))</f>
        <v/>
      </c>
      <c r="AS90" s="101" t="str">
        <f>IF(OR(SUMPRODUCT(--(AJ90:AQ90&lt;&gt;""))&lt;7,AND($AJ90=マスタ!$N$3,$AK90="")), "",
     IF($AR90=$BN$9,$BN$9,
        IF($AJ90=マスタ!$N$5, $BO$9,
             IF(OR($F90=マスタ!$C$3, $F90=マスタ!$C$4, $F90=マスタ!$C$5),
                   IF($AQ90&gt;=1, $BM$9, $BN$9),
             IF(OR($F90=マスタ!$C$6, $F90=マスタ!$C$7, $F90=マスタ!$C$8),
                   IF($AK90&lt;5, IF($AQ90&gt;=1, $BM$9, $BN$9),
                         IF(OR($AQ90&gt;=1,
                                    AND(SUM($AL90,$AM90,$AP90,$AQ90)&gt;=$AK90*0.5, ($AM90+$AP90+$AQ90)&gt;=($AK90*0.2))),
                              $BM$9,$BN$9)))))))</f>
        <v/>
      </c>
      <c r="AT90" s="66"/>
      <c r="AU90" s="143"/>
      <c r="AV90" s="98" t="str" cm="1">
        <f t="array" aca="1" ref="AV90" ca="1">IF(AND($F90:$G90&lt;&gt;"", $I90:$K90&lt;&gt;"",
                 IF(OR($M90=$BM$9,$O90=$BM$9), TRUE, $L90&lt;&gt;""),
                 $M90&lt;&gt;"",$O90&lt;&gt;"",
                 IF($T90=$BM$9, TRUE, $Q90:$R90&lt;&gt;""),
                 IF(AND($BL90&lt;&gt;"", $BL90&lt;&gt;マスタ!$C$5, $BL90&lt;&gt;マスタ!$C$8), TRUE, $T90&lt;&gt;""),
                 IF(OR(AND($T90=$BM$9,  $Y90=$BO$9), $Y90=$BM$9), TRUE,$W90&lt;&gt;""),
                 IF(AND($BL90&lt;&gt;"", $BL90&lt;&gt;マスタ!$C$5, $BL90&lt;&gt;マスタ!$C$8), TRUE, $Y90&lt;&gt;""),
                 $AA90&lt;&gt;"",
                 IF($AA90=マスタ!$F$4, TRUE, $AB90&lt;&gt;""),
                 $AG90:$AO90&lt;&gt;"", $AQ90&lt;&gt;"", $AT90&lt;&gt;""),
        "（正常）入力済み", IF($C90= "", "（複数入力）未入力", "（エラー）一部未入力"))</f>
        <v>（複数入力）未入力</v>
      </c>
      <c r="AW90" s="98" t="str">
        <f t="shared" ca="1" si="6"/>
        <v/>
      </c>
      <c r="AX90" s="98" t="str">
        <f t="shared" ca="1" si="32"/>
        <v/>
      </c>
      <c r="AY90" s="98" t="str">
        <f t="shared" ca="1" si="33"/>
        <v/>
      </c>
      <c r="AZ90" s="98" t="str">
        <f t="shared" ca="1" si="34"/>
        <v/>
      </c>
      <c r="BA90" s="98" t="str">
        <f t="shared" ca="1" si="35"/>
        <v/>
      </c>
      <c r="BB90" s="98" t="str">
        <f t="shared" ca="1" si="36"/>
        <v/>
      </c>
      <c r="BC90" s="98" t="str">
        <f t="shared" ca="1" si="37"/>
        <v/>
      </c>
      <c r="BD90" s="98" t="str">
        <f t="shared" ca="1" si="38"/>
        <v/>
      </c>
      <c r="BE90" s="98" t="str">
        <f>IF($BL90="","",
   IF($T90=入力不可用2,
      IF(OR($BL90=マスタ!$C$5,$BL90=マスタ!$C$8), "未入力", "（正常）規定値"),
      IF(OR($BL90=マスタ!$C$5,$BL90=マスタ!$C$8), "（正常）規定値", "（エラー）値入力不可")))</f>
        <v/>
      </c>
      <c r="BF90" s="98" t="str">
        <f ca="1">IF($C90 = "", "",
       IF(AND(OR($BL90=マスタ!$C$5, $BL90=マスタ!$C$8), $T90 = ""), "未入力",
            IF(AND($Y90 = $BM$9, $T90 = $BO$9), "（エラー）「適合」のみ入力可", "（正常）規定値")))</f>
        <v/>
      </c>
      <c r="BG90" s="98" t="str">
        <f t="shared" ca="1" si="39"/>
        <v/>
      </c>
      <c r="BH90" s="98" t="str">
        <f t="shared" ca="1" si="40"/>
        <v/>
      </c>
      <c r="BI90" s="98" t="str">
        <f>IF($BL90="","",
   IF($Y90=入力不可用2,
      IF(OR($BL90=マスタ!$C$5,$BL90=マスタ!$C$8), "未入力", "（正常）規定値"),
      IF(OR($BL90=マスタ!$C$5,$BL90=マスタ!$C$8), "（正常）規定値", "（エラー）値入力不可")))</f>
        <v/>
      </c>
      <c r="BJ90" s="98" t="str">
        <f>IF($AA90="", "",
        IF($AA90=マスタ!$F$3,
             IF($AB90="", "未入力", "（正常）規定値"),
                  IF($AA90=マスタ!$F$4,
                       IF($AB90&lt;&gt;入力不可用2, "（エラー）値入力不可", "（正常）規定値"))))</f>
        <v/>
      </c>
      <c r="BL90" s="75" t="str">
        <f>IF(OR($F90 = マスタ!$C$5, F90 = マスタ!$C$8), $F90,
        IF(AND($F90 = マスタ!$C$3, 'その１事業者基本情報_入力シート（一部非公開）'!$U$16), $F90,
             IF(AND($F90 = マスタ!$C$4, 'その１事業者基本情報_入力シート（一部非公開）'!$S$16), $F90,
                  IF(AND(OR($F90 = マスタ!$C$6, $F90 = マスタ!$C$7),
                                'その１事業者基本情報_入力シート（一部非公開）'!$W$16), $F90,
                       IF(OR($F90 = マスタ!$C$3, $F90=マスタ!$C$4), マスタ!$C$5,
                            IF(OR($F90 = マスタ!$C$6, $F90 = マスタ!$C$7), マスタ!$C$8, ""))))))</f>
        <v/>
      </c>
      <c r="BM90" s="75" t="str">
        <f>IF($L90&lt;&gt;"", $L90,
       IF($M90 = マスタ!$B$3,
          IF(OR($F90=マスタ!$C$3,$F90=マスタ!$C$4,$F90=マスタ!$C$5),
            IF(OR($G90 = マスタ!$D$54, $G90 = マスタ!$D$55), 0.75, 0.87),
            IF(OR($G90 = マスタ!$D$54, $G90 = マスタ!$D$55), 0.62, 0.72)),
                 IF(ISBLANK($L90), "", $L90)))</f>
        <v/>
      </c>
      <c r="BN90" s="99" t="str">
        <f>IF($L90&lt;&gt;"", $L90,
        IF($O90 = マスタ!$B$3,
          IF(OR($F90=マスタ!$C$3,$F90=マスタ!$C$4,$F90=マスタ!$C$5), 0.6, 0.5),
             IF(ISBLANK($L90), "", $L90)))</f>
        <v/>
      </c>
      <c r="BO90" s="99" t="str">
        <f>IF($T90&lt;&gt;マスタ!$B$3,
        IF(ISBLANK($S90),"",$S90),
             IF($BL90=マスタ!$C$3,0.8,
             IF($BL90=マスタ!$C$4,0.85,
             IF($BL90=マスタ!$C$6,0.9,
             IF($BL90=マスタ!$C$7,0.9,
             IF($BL90=マスタ!$C$5,1,
             IF($BL90=マスタ!$C$8,1,"無効な入力")))))))</f>
        <v/>
      </c>
      <c r="BP90" s="99" t="str">
        <f>IF($Y90&lt;&gt;マスタ!$B$3,
   IF(ISBLANK($X90), "", $X90),
   IF($BL90=マスタ!$C$3, 0.75,
      IF($BL90=マスタ!$C$4, 0.8,
         IF($BL90=マスタ!$C$6, 0.8,
            IF($BL90=マスタ!$C$7, 0.8,
               IF($BL90=マスタ!$C$5, 0.8,
                  IF($BL90=マスタ!$C$8, 0.8, "無効な入力")))))))</f>
        <v/>
      </c>
      <c r="BQ90" s="75"/>
      <c r="BR90" s="75"/>
      <c r="BS90" s="75"/>
      <c r="BT90" s="75"/>
      <c r="BU90" s="75"/>
      <c r="BV90" s="75"/>
      <c r="BW90" s="75"/>
      <c r="BX90" s="75"/>
      <c r="BY90" s="75"/>
    </row>
    <row r="91" spans="3:77" ht="30.75" customHeight="1">
      <c r="C91" s="69" t="str" cm="1">
        <f t="array" aca="1" ref="C91" ca="1">IF(SUMPRODUCT(--($D91:$AU91 &lt;&gt; "")),RIGHT(YEAR(TODAY()),2)&amp;"01"&amp;REPT("0",4-LEN(ROW()-11))&amp;ROW()-11,"")</f>
        <v/>
      </c>
      <c r="D91" s="141"/>
      <c r="E91" s="142"/>
      <c r="F91" s="71"/>
      <c r="G91" s="66"/>
      <c r="H91" s="41" t="str">
        <f>IFERROR(VLOOKUP(G91,マスタ!$D$3:$E$55,2,FALSE),"")</f>
        <v/>
      </c>
      <c r="I91" s="93"/>
      <c r="J91" s="77"/>
      <c r="K91" s="66"/>
      <c r="L91" s="103"/>
      <c r="M91" s="71"/>
      <c r="N91" s="101" t="str">
        <f>IF($M91 = $BM$9, $BM$9,
        IF($L91 = "", "",
              IF(OR(
                          AND(OR($G91 = マスタ!$D$54, $G91 = マスタ!$D$55), $L91 &lt;= $BP$9),
                          AND($G91 &lt;&gt; マスタ!$D$54, $G91 &lt;&gt; マスタ!$D$55, $L91 &lt;= $BQ$9)
                         ), $BM$9, $BN$9)))</f>
        <v/>
      </c>
      <c r="O91" s="71"/>
      <c r="P91" s="101" t="str">
        <f t="shared" si="31"/>
        <v/>
      </c>
      <c r="Q91" s="124"/>
      <c r="R91" s="124"/>
      <c r="S91" s="112" t="str">
        <f t="shared" si="19"/>
        <v/>
      </c>
      <c r="T91" s="71"/>
      <c r="U91" s="41" t="str">
        <f>IF($T91=$BM$9, $BM$9,
        IF($S91="", "",
             IF(OR(AND($BL91=マスタ!$C$3, $S91&lt;=$BS$9),
                        AND($BL91=マスタ!$C$4, $S91&lt;=$BT$9),
                        AND(OR($BL91=マスタ!$C$6, $BL91=マスタ!$C$7), $S91&lt;=$BU$9),
                        AND(OR($BL91=マスタ!$C$5, $BL91=マスタ!$C$8), $S91&lt;=$BV$9)),
                  $BM$9, $BN$9)))</f>
        <v/>
      </c>
      <c r="V91" s="129" t="str">
        <f t="shared" si="16"/>
        <v/>
      </c>
      <c r="W91" s="124"/>
      <c r="X91" s="112" t="str">
        <f t="shared" si="20"/>
        <v/>
      </c>
      <c r="Y91" s="71"/>
      <c r="Z91" s="41" t="str">
        <f>IF($Y91=$BM$9, $BM$9,
        IF(AND($T91 = $BM$9, $Y91 = $BO$9), $BN$9,
             IF($BL91=マスタ!$C$3,
                  IF($X91&lt;=$BW$9, $BM$9,$BN$9),
                       IF(OR($BL91=マスタ!$C$4, $BL91=マスタ!$C$5, $BL91=マスタ!$C$6, $BL91=マスタ!$C$7, $BL91=マスタ!$C$8),
                            IF($X91&lt;=$BX$9, $BM$9,$BN$9), ""))))</f>
        <v/>
      </c>
      <c r="AA91" s="71"/>
      <c r="AB91" s="71"/>
      <c r="AC91" s="71"/>
      <c r="AD91" s="165"/>
      <c r="AE91" s="71"/>
      <c r="AF91" s="165"/>
      <c r="AG91" s="92"/>
      <c r="AH91" s="92"/>
      <c r="AI91" s="92"/>
      <c r="AJ91" s="92"/>
      <c r="AK91" s="121"/>
      <c r="AL91" s="121"/>
      <c r="AM91" s="121"/>
      <c r="AN91" s="121"/>
      <c r="AO91" s="92"/>
      <c r="AP91" s="130" t="str">
        <f t="shared" si="5"/>
        <v/>
      </c>
      <c r="AQ91" s="121"/>
      <c r="AR91" s="101" t="str">
        <f>IF(OR(SUMPRODUCT(--(AJ91:AQ91&lt;&gt;""))&lt;7,AND($AJ91=マスタ!$N$3,$AK91="")), "",
        IF($AJ91=マスタ!$N$5, $BO$9,
              IF(OR($F91=マスタ!$C$3, $F91=マスタ!$C$4, $F91=マスタ!$C$5),
                    IF(SUM($AL91,$AM91,$AP91,$AQ91)&gt;=1, $BM$9, $BN$9),
              IF(OR($F91=マスタ!$C$6, $F91=マスタ!$C$7, $F91=マスタ!$C$8),
                    IF($AK91&lt;10, $BO$9,
                          IF(AND(SUM($AL91,$AM91,$AP91,$AQ91)&gt;=($AK91*0.2), $AM91+$AP91+$AQ91&gt;=1),
                               $BM$9,$BN$9))))))</f>
        <v/>
      </c>
      <c r="AS91" s="101" t="str">
        <f>IF(OR(SUMPRODUCT(--(AJ91:AQ91&lt;&gt;""))&lt;7,AND($AJ91=マスタ!$N$3,$AK91="")), "",
     IF($AR91=$BN$9,$BN$9,
        IF($AJ91=マスタ!$N$5, $BO$9,
             IF(OR($F91=マスタ!$C$3, $F91=マスタ!$C$4, $F91=マスタ!$C$5),
                   IF($AQ91&gt;=1, $BM$9, $BN$9),
             IF(OR($F91=マスタ!$C$6, $F91=マスタ!$C$7, $F91=マスタ!$C$8),
                   IF($AK91&lt;5, IF($AQ91&gt;=1, $BM$9, $BN$9),
                         IF(OR($AQ91&gt;=1,
                                    AND(SUM($AL91,$AM91,$AP91,$AQ91)&gt;=$AK91*0.5, ($AM91+$AP91+$AQ91)&gt;=($AK91*0.2))),
                              $BM$9,$BN$9)))))))</f>
        <v/>
      </c>
      <c r="AT91" s="66"/>
      <c r="AU91" s="143"/>
      <c r="AV91" s="98" t="str" cm="1">
        <f t="array" aca="1" ref="AV91" ca="1">IF(AND($F91:$G91&lt;&gt;"", $I91:$K91&lt;&gt;"",
                 IF(OR($M91=$BM$9,$O91=$BM$9), TRUE, $L91&lt;&gt;""),
                 $M91&lt;&gt;"",$O91&lt;&gt;"",
                 IF($T91=$BM$9, TRUE, $Q91:$R91&lt;&gt;""),
                 IF(AND($BL91&lt;&gt;"", $BL91&lt;&gt;マスタ!$C$5, $BL91&lt;&gt;マスタ!$C$8), TRUE, $T91&lt;&gt;""),
                 IF(OR(AND($T91=$BM$9,  $Y91=$BO$9), $Y91=$BM$9), TRUE,$W91&lt;&gt;""),
                 IF(AND($BL91&lt;&gt;"", $BL91&lt;&gt;マスタ!$C$5, $BL91&lt;&gt;マスタ!$C$8), TRUE, $Y91&lt;&gt;""),
                 $AA91&lt;&gt;"",
                 IF($AA91=マスタ!$F$4, TRUE, $AB91&lt;&gt;""),
                 $AG91:$AO91&lt;&gt;"", $AQ91&lt;&gt;"", $AT91&lt;&gt;""),
        "（正常）入力済み", IF($C91= "", "（複数入力）未入力", "（エラー）一部未入力"))</f>
        <v>（複数入力）未入力</v>
      </c>
      <c r="AW91" s="98" t="str">
        <f t="shared" ca="1" si="6"/>
        <v/>
      </c>
      <c r="AX91" s="98" t="str">
        <f t="shared" ca="1" si="32"/>
        <v/>
      </c>
      <c r="AY91" s="98" t="str">
        <f t="shared" ca="1" si="33"/>
        <v/>
      </c>
      <c r="AZ91" s="98" t="str">
        <f t="shared" ca="1" si="34"/>
        <v/>
      </c>
      <c r="BA91" s="98" t="str">
        <f t="shared" ca="1" si="35"/>
        <v/>
      </c>
      <c r="BB91" s="98" t="str">
        <f t="shared" ca="1" si="36"/>
        <v/>
      </c>
      <c r="BC91" s="98" t="str">
        <f t="shared" ca="1" si="37"/>
        <v/>
      </c>
      <c r="BD91" s="98" t="str">
        <f t="shared" ca="1" si="38"/>
        <v/>
      </c>
      <c r="BE91" s="98" t="str">
        <f>IF($BL91="","",
   IF($T91=入力不可用2,
      IF(OR($BL91=マスタ!$C$5,$BL91=マスタ!$C$8), "未入力", "（正常）規定値"),
      IF(OR($BL91=マスタ!$C$5,$BL91=マスタ!$C$8), "（正常）規定値", "（エラー）値入力不可")))</f>
        <v/>
      </c>
      <c r="BF91" s="98" t="str">
        <f ca="1">IF($C91 = "", "",
       IF(AND(OR($BL91=マスタ!$C$5, $BL91=マスタ!$C$8), $T91 = ""), "未入力",
            IF(AND($Y91 = $BM$9, $T91 = $BO$9), "（エラー）「適合」のみ入力可", "（正常）規定値")))</f>
        <v/>
      </c>
      <c r="BG91" s="98" t="str">
        <f t="shared" ca="1" si="39"/>
        <v/>
      </c>
      <c r="BH91" s="98" t="str">
        <f t="shared" ca="1" si="40"/>
        <v/>
      </c>
      <c r="BI91" s="98" t="str">
        <f>IF($BL91="","",
   IF($Y91=入力不可用2,
      IF(OR($BL91=マスタ!$C$5,$BL91=マスタ!$C$8), "未入力", "（正常）規定値"),
      IF(OR($BL91=マスタ!$C$5,$BL91=マスタ!$C$8), "（正常）規定値", "（エラー）値入力不可")))</f>
        <v/>
      </c>
      <c r="BJ91" s="98" t="str">
        <f>IF($AA91="", "",
        IF($AA91=マスタ!$F$3,
             IF($AB91="", "未入力", "（正常）規定値"),
                  IF($AA91=マスタ!$F$4,
                       IF($AB91&lt;&gt;入力不可用2, "（エラー）値入力不可", "（正常）規定値"))))</f>
        <v/>
      </c>
      <c r="BL91" s="75" t="str">
        <f>IF(OR($F91 = マスタ!$C$5, F91 = マスタ!$C$8), $F91,
        IF(AND($F91 = マスタ!$C$3, 'その１事業者基本情報_入力シート（一部非公開）'!$U$16), $F91,
             IF(AND($F91 = マスタ!$C$4, 'その１事業者基本情報_入力シート（一部非公開）'!$S$16), $F91,
                  IF(AND(OR($F91 = マスタ!$C$6, $F91 = マスタ!$C$7),
                                'その１事業者基本情報_入力シート（一部非公開）'!$W$16), $F91,
                       IF(OR($F91 = マスタ!$C$3, $F91=マスタ!$C$4), マスタ!$C$5,
                            IF(OR($F91 = マスタ!$C$6, $F91 = マスタ!$C$7), マスタ!$C$8, ""))))))</f>
        <v/>
      </c>
      <c r="BM91" s="75" t="str">
        <f>IF($L91&lt;&gt;"", $L91,
       IF($M91 = マスタ!$B$3,
          IF(OR($F91=マスタ!$C$3,$F91=マスタ!$C$4,$F91=マスタ!$C$5),
            IF(OR($G91 = マスタ!$D$54, $G91 = マスタ!$D$55), 0.75, 0.87),
            IF(OR($G91 = マスタ!$D$54, $G91 = マスタ!$D$55), 0.62, 0.72)),
                 IF(ISBLANK($L91), "", $L91)))</f>
        <v/>
      </c>
      <c r="BN91" s="99" t="str">
        <f>IF($L91&lt;&gt;"", $L91,
        IF($O91 = マスタ!$B$3,
          IF(OR($F91=マスタ!$C$3,$F91=マスタ!$C$4,$F91=マスタ!$C$5), 0.6, 0.5),
             IF(ISBLANK($L91), "", $L91)))</f>
        <v/>
      </c>
      <c r="BO91" s="99" t="str">
        <f>IF($T91&lt;&gt;マスタ!$B$3,
        IF(ISBLANK($S91),"",$S91),
             IF($BL91=マスタ!$C$3,0.8,
             IF($BL91=マスタ!$C$4,0.85,
             IF($BL91=マスタ!$C$6,0.9,
             IF($BL91=マスタ!$C$7,0.9,
             IF($BL91=マスタ!$C$5,1,
             IF($BL91=マスタ!$C$8,1,"無効な入力")))))))</f>
        <v/>
      </c>
      <c r="BP91" s="99" t="str">
        <f>IF($Y91&lt;&gt;マスタ!$B$3,
   IF(ISBLANK($X91), "", $X91),
   IF($BL91=マスタ!$C$3, 0.75,
      IF($BL91=マスタ!$C$4, 0.8,
         IF($BL91=マスタ!$C$6, 0.8,
            IF($BL91=マスタ!$C$7, 0.8,
               IF($BL91=マスタ!$C$5, 0.8,
                  IF($BL91=マスタ!$C$8, 0.8, "無効な入力")))))))</f>
        <v/>
      </c>
      <c r="BQ91" s="75"/>
      <c r="BR91" s="75"/>
      <c r="BS91" s="75"/>
      <c r="BT91" s="75"/>
      <c r="BU91" s="75"/>
      <c r="BV91" s="75"/>
      <c r="BW91" s="75"/>
      <c r="BX91" s="75"/>
      <c r="BY91" s="75"/>
    </row>
    <row r="92" spans="3:77" ht="30.75" customHeight="1">
      <c r="C92" s="69" t="str" cm="1">
        <f t="array" aca="1" ref="C92" ca="1">IF(SUMPRODUCT(--($D92:$AU92 &lt;&gt; "")),RIGHT(YEAR(TODAY()),2)&amp;"01"&amp;REPT("0",4-LEN(ROW()-11))&amp;ROW()-11,"")</f>
        <v/>
      </c>
      <c r="D92" s="141"/>
      <c r="E92" s="142"/>
      <c r="F92" s="71"/>
      <c r="G92" s="66"/>
      <c r="H92" s="41" t="str">
        <f>IFERROR(VLOOKUP(G92,マスタ!$D$3:$E$55,2,FALSE),"")</f>
        <v/>
      </c>
      <c r="I92" s="93"/>
      <c r="J92" s="77"/>
      <c r="K92" s="66"/>
      <c r="L92" s="103"/>
      <c r="M92" s="71"/>
      <c r="N92" s="101" t="str">
        <f>IF($M92 = $BM$9, $BM$9,
        IF($L92 = "", "",
              IF(OR(
                          AND(OR($G92 = マスタ!$D$54, $G92 = マスタ!$D$55), $L92 &lt;= $BP$9),
                          AND($G92 &lt;&gt; マスタ!$D$54, $G92 &lt;&gt; マスタ!$D$55, $L92 &lt;= $BQ$9)
                         ), $BM$9, $BN$9)))</f>
        <v/>
      </c>
      <c r="O92" s="71"/>
      <c r="P92" s="101" t="str">
        <f t="shared" si="31"/>
        <v/>
      </c>
      <c r="Q92" s="124"/>
      <c r="R92" s="124"/>
      <c r="S92" s="112" t="str">
        <f t="shared" si="19"/>
        <v/>
      </c>
      <c r="T92" s="71"/>
      <c r="U92" s="41" t="str">
        <f>IF($T92=$BM$9, $BM$9,
        IF($S92="", "",
             IF(OR(AND($BL92=マスタ!$C$3, $S92&lt;=$BS$9),
                        AND($BL92=マスタ!$C$4, $S92&lt;=$BT$9),
                        AND(OR($BL92=マスタ!$C$6, $BL92=マスタ!$C$7), $S92&lt;=$BU$9),
                        AND(OR($BL92=マスタ!$C$5, $BL92=マスタ!$C$8), $S92&lt;=$BV$9)),
                  $BM$9, $BN$9)))</f>
        <v/>
      </c>
      <c r="V92" s="129" t="str">
        <f t="shared" si="16"/>
        <v/>
      </c>
      <c r="W92" s="124"/>
      <c r="X92" s="112" t="str">
        <f t="shared" si="20"/>
        <v/>
      </c>
      <c r="Y92" s="71"/>
      <c r="Z92" s="41" t="str">
        <f>IF($Y92=$BM$9, $BM$9,
        IF(AND($T92 = $BM$9, $Y92 = $BO$9), $BN$9,
             IF($BL92=マスタ!$C$3,
                  IF($X92&lt;=$BW$9, $BM$9,$BN$9),
                       IF(OR($BL92=マスタ!$C$4, $BL92=マスタ!$C$5, $BL92=マスタ!$C$6, $BL92=マスタ!$C$7, $BL92=マスタ!$C$8),
                            IF($X92&lt;=$BX$9, $BM$9,$BN$9), ""))))</f>
        <v/>
      </c>
      <c r="AA92" s="71"/>
      <c r="AB92" s="71"/>
      <c r="AC92" s="71"/>
      <c r="AD92" s="165"/>
      <c r="AE92" s="71"/>
      <c r="AF92" s="165"/>
      <c r="AG92" s="92"/>
      <c r="AH92" s="92"/>
      <c r="AI92" s="92"/>
      <c r="AJ92" s="92"/>
      <c r="AK92" s="121"/>
      <c r="AL92" s="121"/>
      <c r="AM92" s="121"/>
      <c r="AN92" s="121"/>
      <c r="AO92" s="92"/>
      <c r="AP92" s="130" t="str">
        <f t="shared" si="5"/>
        <v/>
      </c>
      <c r="AQ92" s="121"/>
      <c r="AR92" s="101" t="str">
        <f>IF(OR(SUMPRODUCT(--(AJ92:AQ92&lt;&gt;""))&lt;7,AND($AJ92=マスタ!$N$3,$AK92="")), "",
        IF($AJ92=マスタ!$N$5, $BO$9,
              IF(OR($F92=マスタ!$C$3, $F92=マスタ!$C$4, $F92=マスタ!$C$5),
                    IF(SUM($AL92,$AM92,$AP92,$AQ92)&gt;=1, $BM$9, $BN$9),
              IF(OR($F92=マスタ!$C$6, $F92=マスタ!$C$7, $F92=マスタ!$C$8),
                    IF($AK92&lt;10, $BO$9,
                          IF(AND(SUM($AL92,$AM92,$AP92,$AQ92)&gt;=($AK92*0.2), $AM92+$AP92+$AQ92&gt;=1),
                               $BM$9,$BN$9))))))</f>
        <v/>
      </c>
      <c r="AS92" s="101" t="str">
        <f>IF(OR(SUMPRODUCT(--(AJ92:AQ92&lt;&gt;""))&lt;7,AND($AJ92=マスタ!$N$3,$AK92="")), "",
     IF($AR92=$BN$9,$BN$9,
        IF($AJ92=マスタ!$N$5, $BO$9,
             IF(OR($F92=マスタ!$C$3, $F92=マスタ!$C$4, $F92=マスタ!$C$5),
                   IF($AQ92&gt;=1, $BM$9, $BN$9),
             IF(OR($F92=マスタ!$C$6, $F92=マスタ!$C$7, $F92=マスタ!$C$8),
                   IF($AK92&lt;5, IF($AQ92&gt;=1, $BM$9, $BN$9),
                         IF(OR($AQ92&gt;=1,
                                    AND(SUM($AL92,$AM92,$AP92,$AQ92)&gt;=$AK92*0.5, ($AM92+$AP92+$AQ92)&gt;=($AK92*0.2))),
                              $BM$9,$BN$9)))))))</f>
        <v/>
      </c>
      <c r="AT92" s="66"/>
      <c r="AU92" s="143"/>
      <c r="AV92" s="98" t="str" cm="1">
        <f t="array" aca="1" ref="AV92" ca="1">IF(AND($F92:$G92&lt;&gt;"", $I92:$K92&lt;&gt;"",
                 IF(OR($M92=$BM$9,$O92=$BM$9), TRUE, $L92&lt;&gt;""),
                 $M92&lt;&gt;"",$O92&lt;&gt;"",
                 IF($T92=$BM$9, TRUE, $Q92:$R92&lt;&gt;""),
                 IF(AND($BL92&lt;&gt;"", $BL92&lt;&gt;マスタ!$C$5, $BL92&lt;&gt;マスタ!$C$8), TRUE, $T92&lt;&gt;""),
                 IF(OR(AND($T92=$BM$9,  $Y92=$BO$9), $Y92=$BM$9), TRUE,$W92&lt;&gt;""),
                 IF(AND($BL92&lt;&gt;"", $BL92&lt;&gt;マスタ!$C$5, $BL92&lt;&gt;マスタ!$C$8), TRUE, $Y92&lt;&gt;""),
                 $AA92&lt;&gt;"",
                 IF($AA92=マスタ!$F$4, TRUE, $AB92&lt;&gt;""),
                 $AG92:$AO92&lt;&gt;"", $AQ92&lt;&gt;"", $AT92&lt;&gt;""),
        "（正常）入力済み", IF($C92= "", "（複数入力）未入力", "（エラー）一部未入力"))</f>
        <v>（複数入力）未入力</v>
      </c>
      <c r="AW92" s="98" t="str">
        <f t="shared" ca="1" si="6"/>
        <v/>
      </c>
      <c r="AX92" s="98" t="str">
        <f t="shared" ca="1" si="32"/>
        <v/>
      </c>
      <c r="AY92" s="98" t="str">
        <f t="shared" ca="1" si="33"/>
        <v/>
      </c>
      <c r="AZ92" s="98" t="str">
        <f t="shared" ca="1" si="34"/>
        <v/>
      </c>
      <c r="BA92" s="98" t="str">
        <f t="shared" ca="1" si="35"/>
        <v/>
      </c>
      <c r="BB92" s="98" t="str">
        <f t="shared" ca="1" si="36"/>
        <v/>
      </c>
      <c r="BC92" s="98" t="str">
        <f t="shared" ca="1" si="37"/>
        <v/>
      </c>
      <c r="BD92" s="98" t="str">
        <f t="shared" ca="1" si="38"/>
        <v/>
      </c>
      <c r="BE92" s="98" t="str">
        <f>IF($BL92="","",
   IF($T92=入力不可用2,
      IF(OR($BL92=マスタ!$C$5,$BL92=マスタ!$C$8), "未入力", "（正常）規定値"),
      IF(OR($BL92=マスタ!$C$5,$BL92=マスタ!$C$8), "（正常）規定値", "（エラー）値入力不可")))</f>
        <v/>
      </c>
      <c r="BF92" s="98" t="str">
        <f ca="1">IF($C92 = "", "",
       IF(AND(OR($BL92=マスタ!$C$5, $BL92=マスタ!$C$8), $T92 = ""), "未入力",
            IF(AND($Y92 = $BM$9, $T92 = $BO$9), "（エラー）「適合」のみ入力可", "（正常）規定値")))</f>
        <v/>
      </c>
      <c r="BG92" s="98" t="str">
        <f t="shared" ca="1" si="39"/>
        <v/>
      </c>
      <c r="BH92" s="98" t="str">
        <f t="shared" ca="1" si="40"/>
        <v/>
      </c>
      <c r="BI92" s="98" t="str">
        <f>IF($BL92="","",
   IF($Y92=入力不可用2,
      IF(OR($BL92=マスタ!$C$5,$BL92=マスタ!$C$8), "未入力", "（正常）規定値"),
      IF(OR($BL92=マスタ!$C$5,$BL92=マスタ!$C$8), "（正常）規定値", "（エラー）値入力不可")))</f>
        <v/>
      </c>
      <c r="BJ92" s="98" t="str">
        <f>IF($AA92="", "",
        IF($AA92=マスタ!$F$3,
             IF($AB92="", "未入力", "（正常）規定値"),
                  IF($AA92=マスタ!$F$4,
                       IF($AB92&lt;&gt;入力不可用2, "（エラー）値入力不可", "（正常）規定値"))))</f>
        <v/>
      </c>
      <c r="BL92" s="75" t="str">
        <f>IF(OR($F92 = マスタ!$C$5, F92 = マスタ!$C$8), $F92,
        IF(AND($F92 = マスタ!$C$3, 'その１事業者基本情報_入力シート（一部非公開）'!$U$16), $F92,
             IF(AND($F92 = マスタ!$C$4, 'その１事業者基本情報_入力シート（一部非公開）'!$S$16), $F92,
                  IF(AND(OR($F92 = マスタ!$C$6, $F92 = マスタ!$C$7),
                                'その１事業者基本情報_入力シート（一部非公開）'!$W$16), $F92,
                       IF(OR($F92 = マスタ!$C$3, $F92=マスタ!$C$4), マスタ!$C$5,
                            IF(OR($F92 = マスタ!$C$6, $F92 = マスタ!$C$7), マスタ!$C$8, ""))))))</f>
        <v/>
      </c>
      <c r="BM92" s="75" t="str">
        <f>IF($L92&lt;&gt;"", $L92,
       IF($M92 = マスタ!$B$3,
          IF(OR($F92=マスタ!$C$3,$F92=マスタ!$C$4,$F92=マスタ!$C$5),
            IF(OR($G92 = マスタ!$D$54, $G92 = マスタ!$D$55), 0.75, 0.87),
            IF(OR($G92 = マスタ!$D$54, $G92 = マスタ!$D$55), 0.62, 0.72)),
                 IF(ISBLANK($L92), "", $L92)))</f>
        <v/>
      </c>
      <c r="BN92" s="99" t="str">
        <f>IF($L92&lt;&gt;"", $L92,
        IF($O92 = マスタ!$B$3,
          IF(OR($F92=マスタ!$C$3,$F92=マスタ!$C$4,$F92=マスタ!$C$5), 0.6, 0.5),
             IF(ISBLANK($L92), "", $L92)))</f>
        <v/>
      </c>
      <c r="BO92" s="99" t="str">
        <f>IF($T92&lt;&gt;マスタ!$B$3,
        IF(ISBLANK($S92),"",$S92),
             IF($BL92=マスタ!$C$3,0.8,
             IF($BL92=マスタ!$C$4,0.85,
             IF($BL92=マスタ!$C$6,0.9,
             IF($BL92=マスタ!$C$7,0.9,
             IF($BL92=マスタ!$C$5,1,
             IF($BL92=マスタ!$C$8,1,"無効な入力")))))))</f>
        <v/>
      </c>
      <c r="BP92" s="99" t="str">
        <f>IF($Y92&lt;&gt;マスタ!$B$3,
   IF(ISBLANK($X92), "", $X92),
   IF($BL92=マスタ!$C$3, 0.75,
      IF($BL92=マスタ!$C$4, 0.8,
         IF($BL92=マスタ!$C$6, 0.8,
            IF($BL92=マスタ!$C$7, 0.8,
               IF($BL92=マスタ!$C$5, 0.8,
                  IF($BL92=マスタ!$C$8, 0.8, "無効な入力")))))))</f>
        <v/>
      </c>
      <c r="BQ92" s="75"/>
      <c r="BR92" s="75"/>
      <c r="BS92" s="75"/>
      <c r="BT92" s="75"/>
      <c r="BU92" s="75"/>
      <c r="BV92" s="75"/>
      <c r="BW92" s="75"/>
      <c r="BX92" s="75"/>
      <c r="BY92" s="75"/>
    </row>
    <row r="93" spans="3:77" ht="30.75" customHeight="1">
      <c r="C93" s="69" t="str" cm="1">
        <f t="array" aca="1" ref="C93" ca="1">IF(SUMPRODUCT(--($D93:$AU93 &lt;&gt; "")),RIGHT(YEAR(TODAY()),2)&amp;"01"&amp;REPT("0",4-LEN(ROW()-11))&amp;ROW()-11,"")</f>
        <v/>
      </c>
      <c r="D93" s="141"/>
      <c r="E93" s="142"/>
      <c r="F93" s="71"/>
      <c r="G93" s="66"/>
      <c r="H93" s="41" t="str">
        <f>IFERROR(VLOOKUP(G93,マスタ!$D$3:$E$55,2,FALSE),"")</f>
        <v/>
      </c>
      <c r="I93" s="93"/>
      <c r="J93" s="77"/>
      <c r="K93" s="66"/>
      <c r="L93" s="103"/>
      <c r="M93" s="71"/>
      <c r="N93" s="101" t="str">
        <f>IF($M93 = $BM$9, $BM$9,
        IF($L93 = "", "",
              IF(OR(
                          AND(OR($G93 = マスタ!$D$54, $G93 = マスタ!$D$55), $L93 &lt;= $BP$9),
                          AND($G93 &lt;&gt; マスタ!$D$54, $G93 &lt;&gt; マスタ!$D$55, $L93 &lt;= $BQ$9)
                         ), $BM$9, $BN$9)))</f>
        <v/>
      </c>
      <c r="O93" s="71"/>
      <c r="P93" s="101" t="str">
        <f t="shared" si="31"/>
        <v/>
      </c>
      <c r="Q93" s="124"/>
      <c r="R93" s="124"/>
      <c r="S93" s="112" t="str">
        <f t="shared" si="19"/>
        <v/>
      </c>
      <c r="T93" s="71"/>
      <c r="U93" s="41" t="str">
        <f>IF($T93=$BM$9, $BM$9,
        IF($S93="", "",
             IF(OR(AND($BL93=マスタ!$C$3, $S93&lt;=$BS$9),
                        AND($BL93=マスタ!$C$4, $S93&lt;=$BT$9),
                        AND(OR($BL93=マスタ!$C$6, $BL93=マスタ!$C$7), $S93&lt;=$BU$9),
                        AND(OR($BL93=マスタ!$C$5, $BL93=マスタ!$C$8), $S93&lt;=$BV$9)),
                  $BM$9, $BN$9)))</f>
        <v/>
      </c>
      <c r="V93" s="129" t="str">
        <f t="shared" si="16"/>
        <v/>
      </c>
      <c r="W93" s="124"/>
      <c r="X93" s="112" t="str">
        <f t="shared" si="20"/>
        <v/>
      </c>
      <c r="Y93" s="71"/>
      <c r="Z93" s="41" t="str">
        <f>IF($Y93=$BM$9, $BM$9,
        IF(AND($T93 = $BM$9, $Y93 = $BO$9), $BN$9,
             IF($BL93=マスタ!$C$3,
                  IF($X93&lt;=$BW$9, $BM$9,$BN$9),
                       IF(OR($BL93=マスタ!$C$4, $BL93=マスタ!$C$5, $BL93=マスタ!$C$6, $BL93=マスタ!$C$7, $BL93=マスタ!$C$8),
                            IF($X93&lt;=$BX$9, $BM$9,$BN$9), ""))))</f>
        <v/>
      </c>
      <c r="AA93" s="71"/>
      <c r="AB93" s="71"/>
      <c r="AC93" s="71"/>
      <c r="AD93" s="165"/>
      <c r="AE93" s="71"/>
      <c r="AF93" s="165"/>
      <c r="AG93" s="92"/>
      <c r="AH93" s="92"/>
      <c r="AI93" s="92"/>
      <c r="AJ93" s="92"/>
      <c r="AK93" s="121"/>
      <c r="AL93" s="121"/>
      <c r="AM93" s="121"/>
      <c r="AN93" s="121"/>
      <c r="AO93" s="92"/>
      <c r="AP93" s="130" t="str">
        <f t="shared" si="5"/>
        <v/>
      </c>
      <c r="AQ93" s="121"/>
      <c r="AR93" s="101" t="str">
        <f>IF(OR(SUMPRODUCT(--(AJ93:AQ93&lt;&gt;""))&lt;7,AND($AJ93=マスタ!$N$3,$AK93="")), "",
        IF($AJ93=マスタ!$N$5, $BO$9,
              IF(OR($F93=マスタ!$C$3, $F93=マスタ!$C$4, $F93=マスタ!$C$5),
                    IF(SUM($AL93,$AM93,$AP93,$AQ93)&gt;=1, $BM$9, $BN$9),
              IF(OR($F93=マスタ!$C$6, $F93=マスタ!$C$7, $F93=マスタ!$C$8),
                    IF($AK93&lt;10, $BO$9,
                          IF(AND(SUM($AL93,$AM93,$AP93,$AQ93)&gt;=($AK93*0.2), $AM93+$AP93+$AQ93&gt;=1),
                               $BM$9,$BN$9))))))</f>
        <v/>
      </c>
      <c r="AS93" s="101" t="str">
        <f>IF(OR(SUMPRODUCT(--(AJ93:AQ93&lt;&gt;""))&lt;7,AND($AJ93=マスタ!$N$3,$AK93="")), "",
     IF($AR93=$BN$9,$BN$9,
        IF($AJ93=マスタ!$N$5, $BO$9,
             IF(OR($F93=マスタ!$C$3, $F93=マスタ!$C$4, $F93=マスタ!$C$5),
                   IF($AQ93&gt;=1, $BM$9, $BN$9),
             IF(OR($F93=マスタ!$C$6, $F93=マスタ!$C$7, $F93=マスタ!$C$8),
                   IF($AK93&lt;5, IF($AQ93&gt;=1, $BM$9, $BN$9),
                         IF(OR($AQ93&gt;=1,
                                    AND(SUM($AL93,$AM93,$AP93,$AQ93)&gt;=$AK93*0.5, ($AM93+$AP93+$AQ93)&gt;=($AK93*0.2))),
                              $BM$9,$BN$9)))))))</f>
        <v/>
      </c>
      <c r="AT93" s="66"/>
      <c r="AU93" s="143"/>
      <c r="AV93" s="98" t="str" cm="1">
        <f t="array" aca="1" ref="AV93" ca="1">IF(AND($F93:$G93&lt;&gt;"", $I93:$K93&lt;&gt;"",
                 IF(OR($M93=$BM$9,$O93=$BM$9), TRUE, $L93&lt;&gt;""),
                 $M93&lt;&gt;"",$O93&lt;&gt;"",
                 IF($T93=$BM$9, TRUE, $Q93:$R93&lt;&gt;""),
                 IF(AND($BL93&lt;&gt;"", $BL93&lt;&gt;マスタ!$C$5, $BL93&lt;&gt;マスタ!$C$8), TRUE, $T93&lt;&gt;""),
                 IF(OR(AND($T93=$BM$9,  $Y93=$BO$9), $Y93=$BM$9), TRUE,$W93&lt;&gt;""),
                 IF(AND($BL93&lt;&gt;"", $BL93&lt;&gt;マスタ!$C$5, $BL93&lt;&gt;マスタ!$C$8), TRUE, $Y93&lt;&gt;""),
                 $AA93&lt;&gt;"",
                 IF($AA93=マスタ!$F$4, TRUE, $AB93&lt;&gt;""),
                 $AG93:$AO93&lt;&gt;"", $AQ93&lt;&gt;"", $AT93&lt;&gt;""),
        "（正常）入力済み", IF($C93= "", "（複数入力）未入力", "（エラー）一部未入力"))</f>
        <v>（複数入力）未入力</v>
      </c>
      <c r="AW93" s="98" t="str">
        <f t="shared" ca="1" si="6"/>
        <v/>
      </c>
      <c r="AX93" s="98" t="str">
        <f t="shared" ca="1" si="32"/>
        <v/>
      </c>
      <c r="AY93" s="98" t="str">
        <f t="shared" ca="1" si="33"/>
        <v/>
      </c>
      <c r="AZ93" s="98" t="str">
        <f t="shared" ca="1" si="34"/>
        <v/>
      </c>
      <c r="BA93" s="98" t="str">
        <f t="shared" ca="1" si="35"/>
        <v/>
      </c>
      <c r="BB93" s="98" t="str">
        <f t="shared" ca="1" si="36"/>
        <v/>
      </c>
      <c r="BC93" s="98" t="str">
        <f t="shared" ca="1" si="37"/>
        <v/>
      </c>
      <c r="BD93" s="98" t="str">
        <f t="shared" ca="1" si="38"/>
        <v/>
      </c>
      <c r="BE93" s="98" t="str">
        <f>IF($BL93="","",
   IF($T93=入力不可用2,
      IF(OR($BL93=マスタ!$C$5,$BL93=マスタ!$C$8), "未入力", "（正常）規定値"),
      IF(OR($BL93=マスタ!$C$5,$BL93=マスタ!$C$8), "（正常）規定値", "（エラー）値入力不可")))</f>
        <v/>
      </c>
      <c r="BF93" s="98" t="str">
        <f ca="1">IF($C93 = "", "",
       IF(AND(OR($BL93=マスタ!$C$5, $BL93=マスタ!$C$8), $T93 = ""), "未入力",
            IF(AND($Y93 = $BM$9, $T93 = $BO$9), "（エラー）「適合」のみ入力可", "（正常）規定値")))</f>
        <v/>
      </c>
      <c r="BG93" s="98" t="str">
        <f t="shared" ca="1" si="39"/>
        <v/>
      </c>
      <c r="BH93" s="98" t="str">
        <f t="shared" ca="1" si="40"/>
        <v/>
      </c>
      <c r="BI93" s="98" t="str">
        <f>IF($BL93="","",
   IF($Y93=入力不可用2,
      IF(OR($BL93=マスタ!$C$5,$BL93=マスタ!$C$8), "未入力", "（正常）規定値"),
      IF(OR($BL93=マスタ!$C$5,$BL93=マスタ!$C$8), "（正常）規定値", "（エラー）値入力不可")))</f>
        <v/>
      </c>
      <c r="BJ93" s="98" t="str">
        <f>IF($AA93="", "",
        IF($AA93=マスタ!$F$3,
             IF($AB93="", "未入力", "（正常）規定値"),
                  IF($AA93=マスタ!$F$4,
                       IF($AB93&lt;&gt;入力不可用2, "（エラー）値入力不可", "（正常）規定値"))))</f>
        <v/>
      </c>
      <c r="BL93" s="75" t="str">
        <f>IF(OR($F93 = マスタ!$C$5, F93 = マスタ!$C$8), $F93,
        IF(AND($F93 = マスタ!$C$3, 'その１事業者基本情報_入力シート（一部非公開）'!$U$16), $F93,
             IF(AND($F93 = マスタ!$C$4, 'その１事業者基本情報_入力シート（一部非公開）'!$S$16), $F93,
                  IF(AND(OR($F93 = マスタ!$C$6, $F93 = マスタ!$C$7),
                                'その１事業者基本情報_入力シート（一部非公開）'!$W$16), $F93,
                       IF(OR($F93 = マスタ!$C$3, $F93=マスタ!$C$4), マスタ!$C$5,
                            IF(OR($F93 = マスタ!$C$6, $F93 = マスタ!$C$7), マスタ!$C$8, ""))))))</f>
        <v/>
      </c>
      <c r="BM93" s="75" t="str">
        <f>IF($L93&lt;&gt;"", $L93,
       IF($M93 = マスタ!$B$3,
          IF(OR($F93=マスタ!$C$3,$F93=マスタ!$C$4,$F93=マスタ!$C$5),
            IF(OR($G93 = マスタ!$D$54, $G93 = マスタ!$D$55), 0.75, 0.87),
            IF(OR($G93 = マスタ!$D$54, $G93 = マスタ!$D$55), 0.62, 0.72)),
                 IF(ISBLANK($L93), "", $L93)))</f>
        <v/>
      </c>
      <c r="BN93" s="99" t="str">
        <f>IF($L93&lt;&gt;"", $L93,
        IF($O93 = マスタ!$B$3,
          IF(OR($F93=マスタ!$C$3,$F93=マスタ!$C$4,$F93=マスタ!$C$5), 0.6, 0.5),
             IF(ISBLANK($L93), "", $L93)))</f>
        <v/>
      </c>
      <c r="BO93" s="99" t="str">
        <f>IF($T93&lt;&gt;マスタ!$B$3,
        IF(ISBLANK($S93),"",$S93),
             IF($BL93=マスタ!$C$3,0.8,
             IF($BL93=マスタ!$C$4,0.85,
             IF($BL93=マスタ!$C$6,0.9,
             IF($BL93=マスタ!$C$7,0.9,
             IF($BL93=マスタ!$C$5,1,
             IF($BL93=マスタ!$C$8,1,"無効な入力")))))))</f>
        <v/>
      </c>
      <c r="BP93" s="99" t="str">
        <f>IF($Y93&lt;&gt;マスタ!$B$3,
   IF(ISBLANK($X93), "", $X93),
   IF($BL93=マスタ!$C$3, 0.75,
      IF($BL93=マスタ!$C$4, 0.8,
         IF($BL93=マスタ!$C$6, 0.8,
            IF($BL93=マスタ!$C$7, 0.8,
               IF($BL93=マスタ!$C$5, 0.8,
                  IF($BL93=マスタ!$C$8, 0.8, "無効な入力")))))))</f>
        <v/>
      </c>
      <c r="BQ93" s="75"/>
      <c r="BR93" s="75"/>
      <c r="BS93" s="75"/>
      <c r="BT93" s="75"/>
      <c r="BU93" s="75"/>
      <c r="BV93" s="75"/>
      <c r="BW93" s="75"/>
      <c r="BX93" s="75"/>
      <c r="BY93" s="75"/>
    </row>
    <row r="94" spans="3:77" ht="30.75" customHeight="1">
      <c r="C94" s="69" t="str" cm="1">
        <f t="array" aca="1" ref="C94" ca="1">IF(SUMPRODUCT(--($D94:$AU94 &lt;&gt; "")),RIGHT(YEAR(TODAY()),2)&amp;"01"&amp;REPT("0",4-LEN(ROW()-11))&amp;ROW()-11,"")</f>
        <v/>
      </c>
      <c r="D94" s="141"/>
      <c r="E94" s="142"/>
      <c r="F94" s="71"/>
      <c r="G94" s="66"/>
      <c r="H94" s="41" t="str">
        <f>IFERROR(VLOOKUP(G94,マスタ!$D$3:$E$55,2,FALSE),"")</f>
        <v/>
      </c>
      <c r="I94" s="93"/>
      <c r="J94" s="77"/>
      <c r="K94" s="66"/>
      <c r="L94" s="103"/>
      <c r="M94" s="71"/>
      <c r="N94" s="101" t="str">
        <f>IF($M94 = $BM$9, $BM$9,
        IF($L94 = "", "",
              IF(OR(
                          AND(OR($G94 = マスタ!$D$54, $G94 = マスタ!$D$55), $L94 &lt;= $BP$9),
                          AND($G94 &lt;&gt; マスタ!$D$54, $G94 &lt;&gt; マスタ!$D$55, $L94 &lt;= $BQ$9)
                         ), $BM$9, $BN$9)))</f>
        <v/>
      </c>
      <c r="O94" s="71"/>
      <c r="P94" s="101" t="str">
        <f t="shared" si="31"/>
        <v/>
      </c>
      <c r="Q94" s="124"/>
      <c r="R94" s="124"/>
      <c r="S94" s="112" t="str">
        <f t="shared" si="19"/>
        <v/>
      </c>
      <c r="T94" s="71"/>
      <c r="U94" s="41" t="str">
        <f>IF($T94=$BM$9, $BM$9,
        IF($S94="", "",
             IF(OR(AND($BL94=マスタ!$C$3, $S94&lt;=$BS$9),
                        AND($BL94=マスタ!$C$4, $S94&lt;=$BT$9),
                        AND(OR($BL94=マスタ!$C$6, $BL94=マスタ!$C$7), $S94&lt;=$BU$9),
                        AND(OR($BL94=マスタ!$C$5, $BL94=マスタ!$C$8), $S94&lt;=$BV$9)),
                  $BM$9, $BN$9)))</f>
        <v/>
      </c>
      <c r="V94" s="129" t="str">
        <f t="shared" si="16"/>
        <v/>
      </c>
      <c r="W94" s="124"/>
      <c r="X94" s="112" t="str">
        <f t="shared" si="20"/>
        <v/>
      </c>
      <c r="Y94" s="71"/>
      <c r="Z94" s="41" t="str">
        <f>IF($Y94=$BM$9, $BM$9,
        IF(AND($T94 = $BM$9, $Y94 = $BO$9), $BN$9,
             IF($BL94=マスタ!$C$3,
                  IF($X94&lt;=$BW$9, $BM$9,$BN$9),
                       IF(OR($BL94=マスタ!$C$4, $BL94=マスタ!$C$5, $BL94=マスタ!$C$6, $BL94=マスタ!$C$7, $BL94=マスタ!$C$8),
                            IF($X94&lt;=$BX$9, $BM$9,$BN$9), ""))))</f>
        <v/>
      </c>
      <c r="AA94" s="71"/>
      <c r="AB94" s="71"/>
      <c r="AC94" s="71"/>
      <c r="AD94" s="165"/>
      <c r="AE94" s="71"/>
      <c r="AF94" s="165"/>
      <c r="AG94" s="92"/>
      <c r="AH94" s="92"/>
      <c r="AI94" s="92"/>
      <c r="AJ94" s="92"/>
      <c r="AK94" s="121"/>
      <c r="AL94" s="121"/>
      <c r="AM94" s="121"/>
      <c r="AN94" s="121"/>
      <c r="AO94" s="92"/>
      <c r="AP94" s="130" t="str">
        <f t="shared" si="5"/>
        <v/>
      </c>
      <c r="AQ94" s="121"/>
      <c r="AR94" s="101" t="str">
        <f>IF(OR(SUMPRODUCT(--(AJ94:AQ94&lt;&gt;""))&lt;7,AND($AJ94=マスタ!$N$3,$AK94="")), "",
        IF($AJ94=マスタ!$N$5, $BO$9,
              IF(OR($F94=マスタ!$C$3, $F94=マスタ!$C$4, $F94=マスタ!$C$5),
                    IF(SUM($AL94,$AM94,$AP94,$AQ94)&gt;=1, $BM$9, $BN$9),
              IF(OR($F94=マスタ!$C$6, $F94=マスタ!$C$7, $F94=マスタ!$C$8),
                    IF($AK94&lt;10, $BO$9,
                          IF(AND(SUM($AL94,$AM94,$AP94,$AQ94)&gt;=($AK94*0.2), $AM94+$AP94+$AQ94&gt;=1),
                               $BM$9,$BN$9))))))</f>
        <v/>
      </c>
      <c r="AS94" s="101" t="str">
        <f>IF(OR(SUMPRODUCT(--(AJ94:AQ94&lt;&gt;""))&lt;7,AND($AJ94=マスタ!$N$3,$AK94="")), "",
     IF($AR94=$BN$9,$BN$9,
        IF($AJ94=マスタ!$N$5, $BO$9,
             IF(OR($F94=マスタ!$C$3, $F94=マスタ!$C$4, $F94=マスタ!$C$5),
                   IF($AQ94&gt;=1, $BM$9, $BN$9),
             IF(OR($F94=マスタ!$C$6, $F94=マスタ!$C$7, $F94=マスタ!$C$8),
                   IF($AK94&lt;5, IF($AQ94&gt;=1, $BM$9, $BN$9),
                         IF(OR($AQ94&gt;=1,
                                    AND(SUM($AL94,$AM94,$AP94,$AQ94)&gt;=$AK94*0.5, ($AM94+$AP94+$AQ94)&gt;=($AK94*0.2))),
                              $BM$9,$BN$9)))))))</f>
        <v/>
      </c>
      <c r="AT94" s="66"/>
      <c r="AU94" s="143"/>
      <c r="AV94" s="98" t="str" cm="1">
        <f t="array" aca="1" ref="AV94" ca="1">IF(AND($F94:$G94&lt;&gt;"", $I94:$K94&lt;&gt;"",
                 IF(OR($M94=$BM$9,$O94=$BM$9), TRUE, $L94&lt;&gt;""),
                 $M94&lt;&gt;"",$O94&lt;&gt;"",
                 IF($T94=$BM$9, TRUE, $Q94:$R94&lt;&gt;""),
                 IF(AND($BL94&lt;&gt;"", $BL94&lt;&gt;マスタ!$C$5, $BL94&lt;&gt;マスタ!$C$8), TRUE, $T94&lt;&gt;""),
                 IF(OR(AND($T94=$BM$9,  $Y94=$BO$9), $Y94=$BM$9), TRUE,$W94&lt;&gt;""),
                 IF(AND($BL94&lt;&gt;"", $BL94&lt;&gt;マスタ!$C$5, $BL94&lt;&gt;マスタ!$C$8), TRUE, $Y94&lt;&gt;""),
                 $AA94&lt;&gt;"",
                 IF($AA94=マスタ!$F$4, TRUE, $AB94&lt;&gt;""),
                 $AG94:$AO94&lt;&gt;"", $AQ94&lt;&gt;"", $AT94&lt;&gt;""),
        "（正常）入力済み", IF($C94= "", "（複数入力）未入力", "（エラー）一部未入力"))</f>
        <v>（複数入力）未入力</v>
      </c>
      <c r="AW94" s="98" t="str">
        <f t="shared" ca="1" si="6"/>
        <v/>
      </c>
      <c r="AX94" s="98" t="str">
        <f t="shared" ca="1" si="32"/>
        <v/>
      </c>
      <c r="AY94" s="98" t="str">
        <f t="shared" ca="1" si="33"/>
        <v/>
      </c>
      <c r="AZ94" s="98" t="str">
        <f t="shared" ca="1" si="34"/>
        <v/>
      </c>
      <c r="BA94" s="98" t="str">
        <f t="shared" ca="1" si="35"/>
        <v/>
      </c>
      <c r="BB94" s="98" t="str">
        <f t="shared" ca="1" si="36"/>
        <v/>
      </c>
      <c r="BC94" s="98" t="str">
        <f t="shared" ca="1" si="37"/>
        <v/>
      </c>
      <c r="BD94" s="98" t="str">
        <f t="shared" ca="1" si="38"/>
        <v/>
      </c>
      <c r="BE94" s="98" t="str">
        <f>IF($BL94="","",
   IF($T94=入力不可用2,
      IF(OR($BL94=マスタ!$C$5,$BL94=マスタ!$C$8), "未入力", "（正常）規定値"),
      IF(OR($BL94=マスタ!$C$5,$BL94=マスタ!$C$8), "（正常）規定値", "（エラー）値入力不可")))</f>
        <v/>
      </c>
      <c r="BF94" s="98" t="str">
        <f ca="1">IF($C94 = "", "",
       IF(AND(OR($BL94=マスタ!$C$5, $BL94=マスタ!$C$8), $T94 = ""), "未入力",
            IF(AND($Y94 = $BM$9, $T94 = $BO$9), "（エラー）「適合」のみ入力可", "（正常）規定値")))</f>
        <v/>
      </c>
      <c r="BG94" s="98" t="str">
        <f t="shared" ca="1" si="39"/>
        <v/>
      </c>
      <c r="BH94" s="98" t="str">
        <f t="shared" ca="1" si="40"/>
        <v/>
      </c>
      <c r="BI94" s="98" t="str">
        <f>IF($BL94="","",
   IF($Y94=入力不可用2,
      IF(OR($BL94=マスタ!$C$5,$BL94=マスタ!$C$8), "未入力", "（正常）規定値"),
      IF(OR($BL94=マスタ!$C$5,$BL94=マスタ!$C$8), "（正常）規定値", "（エラー）値入力不可")))</f>
        <v/>
      </c>
      <c r="BJ94" s="98" t="str">
        <f>IF($AA94="", "",
        IF($AA94=マスタ!$F$3,
             IF($AB94="", "未入力", "（正常）規定値"),
                  IF($AA94=マスタ!$F$4,
                       IF($AB94&lt;&gt;入力不可用2, "（エラー）値入力不可", "（正常）規定値"))))</f>
        <v/>
      </c>
      <c r="BL94" s="75" t="str">
        <f>IF(OR($F94 = マスタ!$C$5, F94 = マスタ!$C$8), $F94,
        IF(AND($F94 = マスタ!$C$3, 'その１事業者基本情報_入力シート（一部非公開）'!$U$16), $F94,
             IF(AND($F94 = マスタ!$C$4, 'その１事業者基本情報_入力シート（一部非公開）'!$S$16), $F94,
                  IF(AND(OR($F94 = マスタ!$C$6, $F94 = マスタ!$C$7),
                                'その１事業者基本情報_入力シート（一部非公開）'!$W$16), $F94,
                       IF(OR($F94 = マスタ!$C$3, $F94=マスタ!$C$4), マスタ!$C$5,
                            IF(OR($F94 = マスタ!$C$6, $F94 = マスタ!$C$7), マスタ!$C$8, ""))))))</f>
        <v/>
      </c>
      <c r="BM94" s="75" t="str">
        <f>IF($L94&lt;&gt;"", $L94,
       IF($M94 = マスタ!$B$3,
          IF(OR($F94=マスタ!$C$3,$F94=マスタ!$C$4,$F94=マスタ!$C$5),
            IF(OR($G94 = マスタ!$D$54, $G94 = マスタ!$D$55), 0.75, 0.87),
            IF(OR($G94 = マスタ!$D$54, $G94 = マスタ!$D$55), 0.62, 0.72)),
                 IF(ISBLANK($L94), "", $L94)))</f>
        <v/>
      </c>
      <c r="BN94" s="99" t="str">
        <f>IF($L94&lt;&gt;"", $L94,
        IF($O94 = マスタ!$B$3,
          IF(OR($F94=マスタ!$C$3,$F94=マスタ!$C$4,$F94=マスタ!$C$5), 0.6, 0.5),
             IF(ISBLANK($L94), "", $L94)))</f>
        <v/>
      </c>
      <c r="BO94" s="99" t="str">
        <f>IF($T94&lt;&gt;マスタ!$B$3,
        IF(ISBLANK($S94),"",$S94),
             IF($BL94=マスタ!$C$3,0.8,
             IF($BL94=マスタ!$C$4,0.85,
             IF($BL94=マスタ!$C$6,0.9,
             IF($BL94=マスタ!$C$7,0.9,
             IF($BL94=マスタ!$C$5,1,
             IF($BL94=マスタ!$C$8,1,"無効な入力")))))))</f>
        <v/>
      </c>
      <c r="BP94" s="99" t="str">
        <f>IF($Y94&lt;&gt;マスタ!$B$3,
   IF(ISBLANK($X94), "", $X94),
   IF($BL94=マスタ!$C$3, 0.75,
      IF($BL94=マスタ!$C$4, 0.8,
         IF($BL94=マスタ!$C$6, 0.8,
            IF($BL94=マスタ!$C$7, 0.8,
               IF($BL94=マスタ!$C$5, 0.8,
                  IF($BL94=マスタ!$C$8, 0.8, "無効な入力")))))))</f>
        <v/>
      </c>
      <c r="BQ94" s="75"/>
      <c r="BR94" s="75"/>
      <c r="BS94" s="75"/>
      <c r="BT94" s="75"/>
      <c r="BU94" s="75"/>
      <c r="BV94" s="75"/>
      <c r="BW94" s="75"/>
      <c r="BX94" s="75"/>
      <c r="BY94" s="75"/>
    </row>
    <row r="95" spans="3:77" ht="30.75" customHeight="1">
      <c r="C95" s="69" t="str" cm="1">
        <f t="array" aca="1" ref="C95" ca="1">IF(SUMPRODUCT(--($D95:$AU95 &lt;&gt; "")),RIGHT(YEAR(TODAY()),2)&amp;"01"&amp;REPT("0",4-LEN(ROW()-11))&amp;ROW()-11,"")</f>
        <v/>
      </c>
      <c r="D95" s="141"/>
      <c r="E95" s="142"/>
      <c r="F95" s="71"/>
      <c r="G95" s="66"/>
      <c r="H95" s="41" t="str">
        <f>IFERROR(VLOOKUP(G95,マスタ!$D$3:$E$55,2,FALSE),"")</f>
        <v/>
      </c>
      <c r="I95" s="93"/>
      <c r="J95" s="77"/>
      <c r="K95" s="66"/>
      <c r="L95" s="103"/>
      <c r="M95" s="71"/>
      <c r="N95" s="101" t="str">
        <f>IF($M95 = $BM$9, $BM$9,
        IF($L95 = "", "",
              IF(OR(
                          AND(OR($G95 = マスタ!$D$54, $G95 = マスタ!$D$55), $L95 &lt;= $BP$9),
                          AND($G95 &lt;&gt; マスタ!$D$54, $G95 &lt;&gt; マスタ!$D$55, $L95 &lt;= $BQ$9)
                         ), $BM$9, $BN$9)))</f>
        <v/>
      </c>
      <c r="O95" s="71"/>
      <c r="P95" s="101" t="str">
        <f t="shared" si="31"/>
        <v/>
      </c>
      <c r="Q95" s="124"/>
      <c r="R95" s="124"/>
      <c r="S95" s="112" t="str">
        <f t="shared" si="19"/>
        <v/>
      </c>
      <c r="T95" s="71"/>
      <c r="U95" s="41" t="str">
        <f>IF($T95=$BM$9, $BM$9,
        IF($S95="", "",
             IF(OR(AND($BL95=マスタ!$C$3, $S95&lt;=$BS$9),
                        AND($BL95=マスタ!$C$4, $S95&lt;=$BT$9),
                        AND(OR($BL95=マスタ!$C$6, $BL95=マスタ!$C$7), $S95&lt;=$BU$9),
                        AND(OR($BL95=マスタ!$C$5, $BL95=マスタ!$C$8), $S95&lt;=$BV$9)),
                  $BM$9, $BN$9)))</f>
        <v/>
      </c>
      <c r="V95" s="129" t="str">
        <f t="shared" si="16"/>
        <v/>
      </c>
      <c r="W95" s="124"/>
      <c r="X95" s="112" t="str">
        <f t="shared" si="20"/>
        <v/>
      </c>
      <c r="Y95" s="71"/>
      <c r="Z95" s="41" t="str">
        <f>IF($Y95=$BM$9, $BM$9,
        IF(AND($T95 = $BM$9, $Y95 = $BO$9), $BN$9,
             IF($BL95=マスタ!$C$3,
                  IF($X95&lt;=$BW$9, $BM$9,$BN$9),
                       IF(OR($BL95=マスタ!$C$4, $BL95=マスタ!$C$5, $BL95=マスタ!$C$6, $BL95=マスタ!$C$7, $BL95=マスタ!$C$8),
                            IF($X95&lt;=$BX$9, $BM$9,$BN$9), ""))))</f>
        <v/>
      </c>
      <c r="AA95" s="71"/>
      <c r="AB95" s="71"/>
      <c r="AC95" s="71"/>
      <c r="AD95" s="165"/>
      <c r="AE95" s="71"/>
      <c r="AF95" s="165"/>
      <c r="AG95" s="92"/>
      <c r="AH95" s="92"/>
      <c r="AI95" s="92"/>
      <c r="AJ95" s="92"/>
      <c r="AK95" s="121"/>
      <c r="AL95" s="121"/>
      <c r="AM95" s="121"/>
      <c r="AN95" s="121"/>
      <c r="AO95" s="92"/>
      <c r="AP95" s="130" t="str">
        <f t="shared" si="5"/>
        <v/>
      </c>
      <c r="AQ95" s="121"/>
      <c r="AR95" s="101" t="str">
        <f>IF(OR(SUMPRODUCT(--(AJ95:AQ95&lt;&gt;""))&lt;7,AND($AJ95=マスタ!$N$3,$AK95="")), "",
        IF($AJ95=マスタ!$N$5, $BO$9,
              IF(OR($F95=マスタ!$C$3, $F95=マスタ!$C$4, $F95=マスタ!$C$5),
                    IF(SUM($AL95,$AM95,$AP95,$AQ95)&gt;=1, $BM$9, $BN$9),
              IF(OR($F95=マスタ!$C$6, $F95=マスタ!$C$7, $F95=マスタ!$C$8),
                    IF($AK95&lt;10, $BO$9,
                          IF(AND(SUM($AL95,$AM95,$AP95,$AQ95)&gt;=($AK95*0.2), $AM95+$AP95+$AQ95&gt;=1),
                               $BM$9,$BN$9))))))</f>
        <v/>
      </c>
      <c r="AS95" s="101" t="str">
        <f>IF(OR(SUMPRODUCT(--(AJ95:AQ95&lt;&gt;""))&lt;7,AND($AJ95=マスタ!$N$3,$AK95="")), "",
     IF($AR95=$BN$9,$BN$9,
        IF($AJ95=マスタ!$N$5, $BO$9,
             IF(OR($F95=マスタ!$C$3, $F95=マスタ!$C$4, $F95=マスタ!$C$5),
                   IF($AQ95&gt;=1, $BM$9, $BN$9),
             IF(OR($F95=マスタ!$C$6, $F95=マスタ!$C$7, $F95=マスタ!$C$8),
                   IF($AK95&lt;5, IF($AQ95&gt;=1, $BM$9, $BN$9),
                         IF(OR($AQ95&gt;=1,
                                    AND(SUM($AL95,$AM95,$AP95,$AQ95)&gt;=$AK95*0.5, ($AM95+$AP95+$AQ95)&gt;=($AK95*0.2))),
                              $BM$9,$BN$9)))))))</f>
        <v/>
      </c>
      <c r="AT95" s="66"/>
      <c r="AU95" s="143"/>
      <c r="AV95" s="98" t="str" cm="1">
        <f t="array" aca="1" ref="AV95" ca="1">IF(AND($F95:$G95&lt;&gt;"", $I95:$K95&lt;&gt;"",
                 IF(OR($M95=$BM$9,$O95=$BM$9), TRUE, $L95&lt;&gt;""),
                 $M95&lt;&gt;"",$O95&lt;&gt;"",
                 IF($T95=$BM$9, TRUE, $Q95:$R95&lt;&gt;""),
                 IF(AND($BL95&lt;&gt;"", $BL95&lt;&gt;マスタ!$C$5, $BL95&lt;&gt;マスタ!$C$8), TRUE, $T95&lt;&gt;""),
                 IF(OR(AND($T95=$BM$9,  $Y95=$BO$9), $Y95=$BM$9), TRUE,$W95&lt;&gt;""),
                 IF(AND($BL95&lt;&gt;"", $BL95&lt;&gt;マスタ!$C$5, $BL95&lt;&gt;マスタ!$C$8), TRUE, $Y95&lt;&gt;""),
                 $AA95&lt;&gt;"",
                 IF($AA95=マスタ!$F$4, TRUE, $AB95&lt;&gt;""),
                 $AG95:$AO95&lt;&gt;"", $AQ95&lt;&gt;"", $AT95&lt;&gt;""),
        "（正常）入力済み", IF($C95= "", "（複数入力）未入力", "（エラー）一部未入力"))</f>
        <v>（複数入力）未入力</v>
      </c>
      <c r="AW95" s="98" t="str">
        <f t="shared" ca="1" si="6"/>
        <v/>
      </c>
      <c r="AX95" s="98" t="str">
        <f t="shared" ca="1" si="32"/>
        <v/>
      </c>
      <c r="AY95" s="98" t="str">
        <f t="shared" ca="1" si="33"/>
        <v/>
      </c>
      <c r="AZ95" s="98" t="str">
        <f t="shared" ca="1" si="34"/>
        <v/>
      </c>
      <c r="BA95" s="98" t="str">
        <f t="shared" ca="1" si="35"/>
        <v/>
      </c>
      <c r="BB95" s="98" t="str">
        <f t="shared" ca="1" si="36"/>
        <v/>
      </c>
      <c r="BC95" s="98" t="str">
        <f t="shared" ca="1" si="37"/>
        <v/>
      </c>
      <c r="BD95" s="98" t="str">
        <f t="shared" ca="1" si="38"/>
        <v/>
      </c>
      <c r="BE95" s="98" t="str">
        <f>IF($BL95="","",
   IF($T95=入力不可用2,
      IF(OR($BL95=マスタ!$C$5,$BL95=マスタ!$C$8), "未入力", "（正常）規定値"),
      IF(OR($BL95=マスタ!$C$5,$BL95=マスタ!$C$8), "（正常）規定値", "（エラー）値入力不可")))</f>
        <v/>
      </c>
      <c r="BF95" s="98" t="str">
        <f ca="1">IF($C95 = "", "",
       IF(AND(OR($BL95=マスタ!$C$5, $BL95=マスタ!$C$8), $T95 = ""), "未入力",
            IF(AND($Y95 = $BM$9, $T95 = $BO$9), "（エラー）「適合」のみ入力可", "（正常）規定値")))</f>
        <v/>
      </c>
      <c r="BG95" s="98" t="str">
        <f t="shared" ca="1" si="39"/>
        <v/>
      </c>
      <c r="BH95" s="98" t="str">
        <f t="shared" ca="1" si="40"/>
        <v/>
      </c>
      <c r="BI95" s="98" t="str">
        <f>IF($BL95="","",
   IF($Y95=入力不可用2,
      IF(OR($BL95=マスタ!$C$5,$BL95=マスタ!$C$8), "未入力", "（正常）規定値"),
      IF(OR($BL95=マスタ!$C$5,$BL95=マスタ!$C$8), "（正常）規定値", "（エラー）値入力不可")))</f>
        <v/>
      </c>
      <c r="BJ95" s="98" t="str">
        <f>IF($AA95="", "",
        IF($AA95=マスタ!$F$3,
             IF($AB95="", "未入力", "（正常）規定値"),
                  IF($AA95=マスタ!$F$4,
                       IF($AB95&lt;&gt;入力不可用2, "（エラー）値入力不可", "（正常）規定値"))))</f>
        <v/>
      </c>
      <c r="BL95" s="75" t="str">
        <f>IF(OR($F95 = マスタ!$C$5, F95 = マスタ!$C$8), $F95,
        IF(AND($F95 = マスタ!$C$3, 'その１事業者基本情報_入力シート（一部非公開）'!$U$16), $F95,
             IF(AND($F95 = マスタ!$C$4, 'その１事業者基本情報_入力シート（一部非公開）'!$S$16), $F95,
                  IF(AND(OR($F95 = マスタ!$C$6, $F95 = マスタ!$C$7),
                                'その１事業者基本情報_入力シート（一部非公開）'!$W$16), $F95,
                       IF(OR($F95 = マスタ!$C$3, $F95=マスタ!$C$4), マスタ!$C$5,
                            IF(OR($F95 = マスタ!$C$6, $F95 = マスタ!$C$7), マスタ!$C$8, ""))))))</f>
        <v/>
      </c>
      <c r="BM95" s="75" t="str">
        <f>IF($L95&lt;&gt;"", $L95,
       IF($M95 = マスタ!$B$3,
          IF(OR($F95=マスタ!$C$3,$F95=マスタ!$C$4,$F95=マスタ!$C$5),
            IF(OR($G95 = マスタ!$D$54, $G95 = マスタ!$D$55), 0.75, 0.87),
            IF(OR($G95 = マスタ!$D$54, $G95 = マスタ!$D$55), 0.62, 0.72)),
                 IF(ISBLANK($L95), "", $L95)))</f>
        <v/>
      </c>
      <c r="BN95" s="99" t="str">
        <f>IF($L95&lt;&gt;"", $L95,
        IF($O95 = マスタ!$B$3,
          IF(OR($F95=マスタ!$C$3,$F95=マスタ!$C$4,$F95=マスタ!$C$5), 0.6, 0.5),
             IF(ISBLANK($L95), "", $L95)))</f>
        <v/>
      </c>
      <c r="BO95" s="99" t="str">
        <f>IF($T95&lt;&gt;マスタ!$B$3,
        IF(ISBLANK($S95),"",$S95),
             IF($BL95=マスタ!$C$3,0.8,
             IF($BL95=マスタ!$C$4,0.85,
             IF($BL95=マスタ!$C$6,0.9,
             IF($BL95=マスタ!$C$7,0.9,
             IF($BL95=マスタ!$C$5,1,
             IF($BL95=マスタ!$C$8,1,"無効な入力")))))))</f>
        <v/>
      </c>
      <c r="BP95" s="99" t="str">
        <f>IF($Y95&lt;&gt;マスタ!$B$3,
   IF(ISBLANK($X95), "", $X95),
   IF($BL95=マスタ!$C$3, 0.75,
      IF($BL95=マスタ!$C$4, 0.8,
         IF($BL95=マスタ!$C$6, 0.8,
            IF($BL95=マスタ!$C$7, 0.8,
               IF($BL95=マスタ!$C$5, 0.8,
                  IF($BL95=マスタ!$C$8, 0.8, "無効な入力")))))))</f>
        <v/>
      </c>
      <c r="BQ95" s="75"/>
      <c r="BR95" s="75"/>
      <c r="BS95" s="75"/>
      <c r="BT95" s="75"/>
      <c r="BU95" s="75"/>
      <c r="BV95" s="75"/>
      <c r="BW95" s="75"/>
      <c r="BX95" s="75"/>
      <c r="BY95" s="75"/>
    </row>
    <row r="96" spans="3:77" ht="30.75" customHeight="1">
      <c r="C96" s="69" t="str" cm="1">
        <f t="array" aca="1" ref="C96" ca="1">IF(SUMPRODUCT(--($D96:$AU96 &lt;&gt; "")),RIGHT(YEAR(TODAY()),2)&amp;"01"&amp;REPT("0",4-LEN(ROW()-11))&amp;ROW()-11,"")</f>
        <v/>
      </c>
      <c r="D96" s="141"/>
      <c r="E96" s="142"/>
      <c r="F96" s="71"/>
      <c r="G96" s="66"/>
      <c r="H96" s="41" t="str">
        <f>IFERROR(VLOOKUP(G96,マスタ!$D$3:$E$55,2,FALSE),"")</f>
        <v/>
      </c>
      <c r="I96" s="93"/>
      <c r="J96" s="77"/>
      <c r="K96" s="66"/>
      <c r="L96" s="103"/>
      <c r="M96" s="71"/>
      <c r="N96" s="101" t="str">
        <f>IF($M96 = $BM$9, $BM$9,
        IF($L96 = "", "",
              IF(OR(
                          AND(OR($G96 = マスタ!$D$54, $G96 = マスタ!$D$55), $L96 &lt;= $BP$9),
                          AND($G96 &lt;&gt; マスタ!$D$54, $G96 &lt;&gt; マスタ!$D$55, $L96 &lt;= $BQ$9)
                         ), $BM$9, $BN$9)))</f>
        <v/>
      </c>
      <c r="O96" s="71"/>
      <c r="P96" s="101" t="str">
        <f t="shared" si="31"/>
        <v/>
      </c>
      <c r="Q96" s="124"/>
      <c r="R96" s="124"/>
      <c r="S96" s="112" t="str">
        <f t="shared" si="19"/>
        <v/>
      </c>
      <c r="T96" s="71"/>
      <c r="U96" s="41" t="str">
        <f>IF($T96=$BM$9, $BM$9,
        IF($S96="", "",
             IF(OR(AND($BL96=マスタ!$C$3, $S96&lt;=$BS$9),
                        AND($BL96=マスタ!$C$4, $S96&lt;=$BT$9),
                        AND(OR($BL96=マスタ!$C$6, $BL96=マスタ!$C$7), $S96&lt;=$BU$9),
                        AND(OR($BL96=マスタ!$C$5, $BL96=マスタ!$C$8), $S96&lt;=$BV$9)),
                  $BM$9, $BN$9)))</f>
        <v/>
      </c>
      <c r="V96" s="129" t="str">
        <f t="shared" si="16"/>
        <v/>
      </c>
      <c r="W96" s="124"/>
      <c r="X96" s="112" t="str">
        <f t="shared" si="20"/>
        <v/>
      </c>
      <c r="Y96" s="71"/>
      <c r="Z96" s="41" t="str">
        <f>IF($Y96=$BM$9, $BM$9,
        IF(AND($T96 = $BM$9, $Y96 = $BO$9), $BN$9,
             IF($BL96=マスタ!$C$3,
                  IF($X96&lt;=$BW$9, $BM$9,$BN$9),
                       IF(OR($BL96=マスタ!$C$4, $BL96=マスタ!$C$5, $BL96=マスタ!$C$6, $BL96=マスタ!$C$7, $BL96=マスタ!$C$8),
                            IF($X96&lt;=$BX$9, $BM$9,$BN$9), ""))))</f>
        <v/>
      </c>
      <c r="AA96" s="71"/>
      <c r="AB96" s="71"/>
      <c r="AC96" s="71"/>
      <c r="AD96" s="165"/>
      <c r="AE96" s="71"/>
      <c r="AF96" s="165"/>
      <c r="AG96" s="92"/>
      <c r="AH96" s="92"/>
      <c r="AI96" s="92"/>
      <c r="AJ96" s="92"/>
      <c r="AK96" s="121"/>
      <c r="AL96" s="121"/>
      <c r="AM96" s="121"/>
      <c r="AN96" s="121"/>
      <c r="AO96" s="92"/>
      <c r="AP96" s="130" t="str">
        <f t="shared" si="5"/>
        <v/>
      </c>
      <c r="AQ96" s="121"/>
      <c r="AR96" s="101" t="str">
        <f>IF(OR(SUMPRODUCT(--(AJ96:AQ96&lt;&gt;""))&lt;7,AND($AJ96=マスタ!$N$3,$AK96="")), "",
        IF($AJ96=マスタ!$N$5, $BO$9,
              IF(OR($F96=マスタ!$C$3, $F96=マスタ!$C$4, $F96=マスタ!$C$5),
                    IF(SUM($AL96,$AM96,$AP96,$AQ96)&gt;=1, $BM$9, $BN$9),
              IF(OR($F96=マスタ!$C$6, $F96=マスタ!$C$7, $F96=マスタ!$C$8),
                    IF($AK96&lt;10, $BO$9,
                          IF(AND(SUM($AL96,$AM96,$AP96,$AQ96)&gt;=($AK96*0.2), $AM96+$AP96+$AQ96&gt;=1),
                               $BM$9,$BN$9))))))</f>
        <v/>
      </c>
      <c r="AS96" s="101" t="str">
        <f>IF(OR(SUMPRODUCT(--(AJ96:AQ96&lt;&gt;""))&lt;7,AND($AJ96=マスタ!$N$3,$AK96="")), "",
     IF($AR96=$BN$9,$BN$9,
        IF($AJ96=マスタ!$N$5, $BO$9,
             IF(OR($F96=マスタ!$C$3, $F96=マスタ!$C$4, $F96=マスタ!$C$5),
                   IF($AQ96&gt;=1, $BM$9, $BN$9),
             IF(OR($F96=マスタ!$C$6, $F96=マスタ!$C$7, $F96=マスタ!$C$8),
                   IF($AK96&lt;5, IF($AQ96&gt;=1, $BM$9, $BN$9),
                         IF(OR($AQ96&gt;=1,
                                    AND(SUM($AL96,$AM96,$AP96,$AQ96)&gt;=$AK96*0.5, ($AM96+$AP96+$AQ96)&gt;=($AK96*0.2))),
                              $BM$9,$BN$9)))))))</f>
        <v/>
      </c>
      <c r="AT96" s="66"/>
      <c r="AU96" s="143"/>
      <c r="AV96" s="98" t="str" cm="1">
        <f t="array" aca="1" ref="AV96" ca="1">IF(AND($F96:$G96&lt;&gt;"", $I96:$K96&lt;&gt;"",
                 IF(OR($M96=$BM$9,$O96=$BM$9), TRUE, $L96&lt;&gt;""),
                 $M96&lt;&gt;"",$O96&lt;&gt;"",
                 IF($T96=$BM$9, TRUE, $Q96:$R96&lt;&gt;""),
                 IF(AND($BL96&lt;&gt;"", $BL96&lt;&gt;マスタ!$C$5, $BL96&lt;&gt;マスタ!$C$8), TRUE, $T96&lt;&gt;""),
                 IF(OR(AND($T96=$BM$9,  $Y96=$BO$9), $Y96=$BM$9), TRUE,$W96&lt;&gt;""),
                 IF(AND($BL96&lt;&gt;"", $BL96&lt;&gt;マスタ!$C$5, $BL96&lt;&gt;マスタ!$C$8), TRUE, $Y96&lt;&gt;""),
                 $AA96&lt;&gt;"",
                 IF($AA96=マスタ!$F$4, TRUE, $AB96&lt;&gt;""),
                 $AG96:$AO96&lt;&gt;"", $AQ96&lt;&gt;"", $AT96&lt;&gt;""),
        "（正常）入力済み", IF($C96= "", "（複数入力）未入力", "（エラー）一部未入力"))</f>
        <v>（複数入力）未入力</v>
      </c>
      <c r="AW96" s="98" t="str">
        <f t="shared" ca="1" si="6"/>
        <v/>
      </c>
      <c r="AX96" s="98" t="str">
        <f t="shared" ca="1" si="32"/>
        <v/>
      </c>
      <c r="AY96" s="98" t="str">
        <f t="shared" ca="1" si="33"/>
        <v/>
      </c>
      <c r="AZ96" s="98" t="str">
        <f t="shared" ca="1" si="34"/>
        <v/>
      </c>
      <c r="BA96" s="98" t="str">
        <f t="shared" ca="1" si="35"/>
        <v/>
      </c>
      <c r="BB96" s="98" t="str">
        <f t="shared" ca="1" si="36"/>
        <v/>
      </c>
      <c r="BC96" s="98" t="str">
        <f t="shared" ca="1" si="37"/>
        <v/>
      </c>
      <c r="BD96" s="98" t="str">
        <f t="shared" ca="1" si="38"/>
        <v/>
      </c>
      <c r="BE96" s="98" t="str">
        <f>IF($BL96="","",
   IF($T96=入力不可用2,
      IF(OR($BL96=マスタ!$C$5,$BL96=マスタ!$C$8), "未入力", "（正常）規定値"),
      IF(OR($BL96=マスタ!$C$5,$BL96=マスタ!$C$8), "（正常）規定値", "（エラー）値入力不可")))</f>
        <v/>
      </c>
      <c r="BF96" s="98" t="str">
        <f ca="1">IF($C96 = "", "",
       IF(AND(OR($BL96=マスタ!$C$5, $BL96=マスタ!$C$8), $T96 = ""), "未入力",
            IF(AND($Y96 = $BM$9, $T96 = $BO$9), "（エラー）「適合」のみ入力可", "（正常）規定値")))</f>
        <v/>
      </c>
      <c r="BG96" s="98" t="str">
        <f t="shared" ca="1" si="39"/>
        <v/>
      </c>
      <c r="BH96" s="98" t="str">
        <f t="shared" ca="1" si="40"/>
        <v/>
      </c>
      <c r="BI96" s="98" t="str">
        <f>IF($BL96="","",
   IF($Y96=入力不可用2,
      IF(OR($BL96=マスタ!$C$5,$BL96=マスタ!$C$8), "未入力", "（正常）規定値"),
      IF(OR($BL96=マスタ!$C$5,$BL96=マスタ!$C$8), "（正常）規定値", "（エラー）値入力不可")))</f>
        <v/>
      </c>
      <c r="BJ96" s="98" t="str">
        <f>IF($AA96="", "",
        IF($AA96=マスタ!$F$3,
             IF($AB96="", "未入力", "（正常）規定値"),
                  IF($AA96=マスタ!$F$4,
                       IF($AB96&lt;&gt;入力不可用2, "（エラー）値入力不可", "（正常）規定値"))))</f>
        <v/>
      </c>
      <c r="BL96" s="75" t="str">
        <f>IF(OR($F96 = マスタ!$C$5, F96 = マスタ!$C$8), $F96,
        IF(AND($F96 = マスタ!$C$3, 'その１事業者基本情報_入力シート（一部非公開）'!$U$16), $F96,
             IF(AND($F96 = マスタ!$C$4, 'その１事業者基本情報_入力シート（一部非公開）'!$S$16), $F96,
                  IF(AND(OR($F96 = マスタ!$C$6, $F96 = マスタ!$C$7),
                                'その１事業者基本情報_入力シート（一部非公開）'!$W$16), $F96,
                       IF(OR($F96 = マスタ!$C$3, $F96=マスタ!$C$4), マスタ!$C$5,
                            IF(OR($F96 = マスタ!$C$6, $F96 = マスタ!$C$7), マスタ!$C$8, ""))))))</f>
        <v/>
      </c>
      <c r="BM96" s="75" t="str">
        <f>IF($L96&lt;&gt;"", $L96,
       IF($M96 = マスタ!$B$3,
          IF(OR($F96=マスタ!$C$3,$F96=マスタ!$C$4,$F96=マスタ!$C$5),
            IF(OR($G96 = マスタ!$D$54, $G96 = マスタ!$D$55), 0.75, 0.87),
            IF(OR($G96 = マスタ!$D$54, $G96 = マスタ!$D$55), 0.62, 0.72)),
                 IF(ISBLANK($L96), "", $L96)))</f>
        <v/>
      </c>
      <c r="BN96" s="99" t="str">
        <f>IF($L96&lt;&gt;"", $L96,
        IF($O96 = マスタ!$B$3,
          IF(OR($F96=マスタ!$C$3,$F96=マスタ!$C$4,$F96=マスタ!$C$5), 0.6, 0.5),
             IF(ISBLANK($L96), "", $L96)))</f>
        <v/>
      </c>
      <c r="BO96" s="99" t="str">
        <f>IF($T96&lt;&gt;マスタ!$B$3,
        IF(ISBLANK($S96),"",$S96),
             IF($BL96=マスタ!$C$3,0.8,
             IF($BL96=マスタ!$C$4,0.85,
             IF($BL96=マスタ!$C$6,0.9,
             IF($BL96=マスタ!$C$7,0.9,
             IF($BL96=マスタ!$C$5,1,
             IF($BL96=マスタ!$C$8,1,"無効な入力")))))))</f>
        <v/>
      </c>
      <c r="BP96" s="99" t="str">
        <f>IF($Y96&lt;&gt;マスタ!$B$3,
   IF(ISBLANK($X96), "", $X96),
   IF($BL96=マスタ!$C$3, 0.75,
      IF($BL96=マスタ!$C$4, 0.8,
         IF($BL96=マスタ!$C$6, 0.8,
            IF($BL96=マスタ!$C$7, 0.8,
               IF($BL96=マスタ!$C$5, 0.8,
                  IF($BL96=マスタ!$C$8, 0.8, "無効な入力")))))))</f>
        <v/>
      </c>
      <c r="BQ96" s="75"/>
      <c r="BR96" s="75"/>
      <c r="BS96" s="75"/>
      <c r="BT96" s="75"/>
      <c r="BU96" s="75"/>
      <c r="BV96" s="75"/>
      <c r="BW96" s="75"/>
      <c r="BX96" s="75"/>
      <c r="BY96" s="75"/>
    </row>
    <row r="97" spans="3:77" ht="30.75" customHeight="1">
      <c r="C97" s="69" t="str" cm="1">
        <f t="array" aca="1" ref="C97" ca="1">IF(SUMPRODUCT(--($D97:$AU97 &lt;&gt; "")),RIGHT(YEAR(TODAY()),2)&amp;"01"&amp;REPT("0",4-LEN(ROW()-11))&amp;ROW()-11,"")</f>
        <v/>
      </c>
      <c r="D97" s="141"/>
      <c r="E97" s="142"/>
      <c r="F97" s="71"/>
      <c r="G97" s="66"/>
      <c r="H97" s="41" t="str">
        <f>IFERROR(VLOOKUP(G97,マスタ!$D$3:$E$55,2,FALSE),"")</f>
        <v/>
      </c>
      <c r="I97" s="93"/>
      <c r="J97" s="77"/>
      <c r="K97" s="66"/>
      <c r="L97" s="103"/>
      <c r="M97" s="71"/>
      <c r="N97" s="101" t="str">
        <f>IF($M97 = $BM$9, $BM$9,
        IF($L97 = "", "",
              IF(OR(
                          AND(OR($G97 = マスタ!$D$54, $G97 = マスタ!$D$55), $L97 &lt;= $BP$9),
                          AND($G97 &lt;&gt; マスタ!$D$54, $G97 &lt;&gt; マスタ!$D$55, $L97 &lt;= $BQ$9)
                         ), $BM$9, $BN$9)))</f>
        <v/>
      </c>
      <c r="O97" s="71"/>
      <c r="P97" s="101" t="str">
        <f t="shared" si="31"/>
        <v/>
      </c>
      <c r="Q97" s="124"/>
      <c r="R97" s="124"/>
      <c r="S97" s="112" t="str">
        <f t="shared" si="19"/>
        <v/>
      </c>
      <c r="T97" s="71"/>
      <c r="U97" s="41" t="str">
        <f>IF($T97=$BM$9, $BM$9,
        IF($S97="", "",
             IF(OR(AND($BL97=マスタ!$C$3, $S97&lt;=$BS$9),
                        AND($BL97=マスタ!$C$4, $S97&lt;=$BT$9),
                        AND(OR($BL97=マスタ!$C$6, $BL97=マスタ!$C$7), $S97&lt;=$BU$9),
                        AND(OR($BL97=マスタ!$C$5, $BL97=マスタ!$C$8), $S97&lt;=$BV$9)),
                  $BM$9, $BN$9)))</f>
        <v/>
      </c>
      <c r="V97" s="129" t="str">
        <f t="shared" si="16"/>
        <v/>
      </c>
      <c r="W97" s="124"/>
      <c r="X97" s="112" t="str">
        <f t="shared" si="20"/>
        <v/>
      </c>
      <c r="Y97" s="71"/>
      <c r="Z97" s="41" t="str">
        <f>IF($Y97=$BM$9, $BM$9,
        IF(AND($T97 = $BM$9, $Y97 = $BO$9), $BN$9,
             IF($BL97=マスタ!$C$3,
                  IF($X97&lt;=$BW$9, $BM$9,$BN$9),
                       IF(OR($BL97=マスタ!$C$4, $BL97=マスタ!$C$5, $BL97=マスタ!$C$6, $BL97=マスタ!$C$7, $BL97=マスタ!$C$8),
                            IF($X97&lt;=$BX$9, $BM$9,$BN$9), ""))))</f>
        <v/>
      </c>
      <c r="AA97" s="71"/>
      <c r="AB97" s="71"/>
      <c r="AC97" s="71"/>
      <c r="AD97" s="165"/>
      <c r="AE97" s="71"/>
      <c r="AF97" s="165"/>
      <c r="AG97" s="92"/>
      <c r="AH97" s="92"/>
      <c r="AI97" s="92"/>
      <c r="AJ97" s="92"/>
      <c r="AK97" s="121"/>
      <c r="AL97" s="121"/>
      <c r="AM97" s="121"/>
      <c r="AN97" s="121"/>
      <c r="AO97" s="92"/>
      <c r="AP97" s="130" t="str">
        <f t="shared" si="5"/>
        <v/>
      </c>
      <c r="AQ97" s="121"/>
      <c r="AR97" s="101" t="str">
        <f>IF(OR(SUMPRODUCT(--(AJ97:AQ97&lt;&gt;""))&lt;7,AND($AJ97=マスタ!$N$3,$AK97="")), "",
        IF($AJ97=マスタ!$N$5, $BO$9,
              IF(OR($F97=マスタ!$C$3, $F97=マスタ!$C$4, $F97=マスタ!$C$5),
                    IF(SUM($AL97,$AM97,$AP97,$AQ97)&gt;=1, $BM$9, $BN$9),
              IF(OR($F97=マスタ!$C$6, $F97=マスタ!$C$7, $F97=マスタ!$C$8),
                    IF($AK97&lt;10, $BO$9,
                          IF(AND(SUM($AL97,$AM97,$AP97,$AQ97)&gt;=($AK97*0.2), $AM97+$AP97+$AQ97&gt;=1),
                               $BM$9,$BN$9))))))</f>
        <v/>
      </c>
      <c r="AS97" s="101" t="str">
        <f>IF(OR(SUMPRODUCT(--(AJ97:AQ97&lt;&gt;""))&lt;7,AND($AJ97=マスタ!$N$3,$AK97="")), "",
     IF($AR97=$BN$9,$BN$9,
        IF($AJ97=マスタ!$N$5, $BO$9,
             IF(OR($F97=マスタ!$C$3, $F97=マスタ!$C$4, $F97=マスタ!$C$5),
                   IF($AQ97&gt;=1, $BM$9, $BN$9),
             IF(OR($F97=マスタ!$C$6, $F97=マスタ!$C$7, $F97=マスタ!$C$8),
                   IF($AK97&lt;5, IF($AQ97&gt;=1, $BM$9, $BN$9),
                         IF(OR($AQ97&gt;=1,
                                    AND(SUM($AL97,$AM97,$AP97,$AQ97)&gt;=$AK97*0.5, ($AM97+$AP97+$AQ97)&gt;=($AK97*0.2))),
                              $BM$9,$BN$9)))))))</f>
        <v/>
      </c>
      <c r="AT97" s="66"/>
      <c r="AU97" s="143"/>
      <c r="AV97" s="98" t="str" cm="1">
        <f t="array" aca="1" ref="AV97" ca="1">IF(AND($F97:$G97&lt;&gt;"", $I97:$K97&lt;&gt;"",
                 IF(OR($M97=$BM$9,$O97=$BM$9), TRUE, $L97&lt;&gt;""),
                 $M97&lt;&gt;"",$O97&lt;&gt;"",
                 IF($T97=$BM$9, TRUE, $Q97:$R97&lt;&gt;""),
                 IF(AND($BL97&lt;&gt;"", $BL97&lt;&gt;マスタ!$C$5, $BL97&lt;&gt;マスタ!$C$8), TRUE, $T97&lt;&gt;""),
                 IF(OR(AND($T97=$BM$9,  $Y97=$BO$9), $Y97=$BM$9), TRUE,$W97&lt;&gt;""),
                 IF(AND($BL97&lt;&gt;"", $BL97&lt;&gt;マスタ!$C$5, $BL97&lt;&gt;マスタ!$C$8), TRUE, $Y97&lt;&gt;""),
                 $AA97&lt;&gt;"",
                 IF($AA97=マスタ!$F$4, TRUE, $AB97&lt;&gt;""),
                 $AG97:$AO97&lt;&gt;"", $AQ97&lt;&gt;"", $AT97&lt;&gt;""),
        "（正常）入力済み", IF($C97= "", "（複数入力）未入力", "（エラー）一部未入力"))</f>
        <v>（複数入力）未入力</v>
      </c>
      <c r="AW97" s="98" t="str">
        <f t="shared" ca="1" si="6"/>
        <v/>
      </c>
      <c r="AX97" s="98" t="str">
        <f t="shared" ca="1" si="32"/>
        <v/>
      </c>
      <c r="AY97" s="98" t="str">
        <f t="shared" ca="1" si="33"/>
        <v/>
      </c>
      <c r="AZ97" s="98" t="str">
        <f t="shared" ca="1" si="34"/>
        <v/>
      </c>
      <c r="BA97" s="98" t="str">
        <f t="shared" ca="1" si="35"/>
        <v/>
      </c>
      <c r="BB97" s="98" t="str">
        <f t="shared" ca="1" si="36"/>
        <v/>
      </c>
      <c r="BC97" s="98" t="str">
        <f t="shared" ca="1" si="37"/>
        <v/>
      </c>
      <c r="BD97" s="98" t="str">
        <f t="shared" ca="1" si="38"/>
        <v/>
      </c>
      <c r="BE97" s="98" t="str">
        <f>IF($BL97="","",
   IF($T97=入力不可用2,
      IF(OR($BL97=マスタ!$C$5,$BL97=マスタ!$C$8), "未入力", "（正常）規定値"),
      IF(OR($BL97=マスタ!$C$5,$BL97=マスタ!$C$8), "（正常）規定値", "（エラー）値入力不可")))</f>
        <v/>
      </c>
      <c r="BF97" s="98" t="str">
        <f ca="1">IF($C97 = "", "",
       IF(AND(OR($BL97=マスタ!$C$5, $BL97=マスタ!$C$8), $T97 = ""), "未入力",
            IF(AND($Y97 = $BM$9, $T97 = $BO$9), "（エラー）「適合」のみ入力可", "（正常）規定値")))</f>
        <v/>
      </c>
      <c r="BG97" s="98" t="str">
        <f t="shared" ca="1" si="39"/>
        <v/>
      </c>
      <c r="BH97" s="98" t="str">
        <f t="shared" ca="1" si="40"/>
        <v/>
      </c>
      <c r="BI97" s="98" t="str">
        <f>IF($BL97="","",
   IF($Y97=入力不可用2,
      IF(OR($BL97=マスタ!$C$5,$BL97=マスタ!$C$8), "未入力", "（正常）規定値"),
      IF(OR($BL97=マスタ!$C$5,$BL97=マスタ!$C$8), "（正常）規定値", "（エラー）値入力不可")))</f>
        <v/>
      </c>
      <c r="BJ97" s="98" t="str">
        <f>IF($AA97="", "",
        IF($AA97=マスタ!$F$3,
             IF($AB97="", "未入力", "（正常）規定値"),
                  IF($AA97=マスタ!$F$4,
                       IF($AB97&lt;&gt;入力不可用2, "（エラー）値入力不可", "（正常）規定値"))))</f>
        <v/>
      </c>
      <c r="BL97" s="75" t="str">
        <f>IF(OR($F97 = マスタ!$C$5, F97 = マスタ!$C$8), $F97,
        IF(AND($F97 = マスタ!$C$3, 'その１事業者基本情報_入力シート（一部非公開）'!$U$16), $F97,
             IF(AND($F97 = マスタ!$C$4, 'その１事業者基本情報_入力シート（一部非公開）'!$S$16), $F97,
                  IF(AND(OR($F97 = マスタ!$C$6, $F97 = マスタ!$C$7),
                                'その１事業者基本情報_入力シート（一部非公開）'!$W$16), $F97,
                       IF(OR($F97 = マスタ!$C$3, $F97=マスタ!$C$4), マスタ!$C$5,
                            IF(OR($F97 = マスタ!$C$6, $F97 = マスタ!$C$7), マスタ!$C$8, ""))))))</f>
        <v/>
      </c>
      <c r="BM97" s="75" t="str">
        <f>IF($L97&lt;&gt;"", $L97,
       IF($M97 = マスタ!$B$3,
          IF(OR($F97=マスタ!$C$3,$F97=マスタ!$C$4,$F97=マスタ!$C$5),
            IF(OR($G97 = マスタ!$D$54, $G97 = マスタ!$D$55), 0.75, 0.87),
            IF(OR($G97 = マスタ!$D$54, $G97 = マスタ!$D$55), 0.62, 0.72)),
                 IF(ISBLANK($L97), "", $L97)))</f>
        <v/>
      </c>
      <c r="BN97" s="99" t="str">
        <f>IF($L97&lt;&gt;"", $L97,
        IF($O97 = マスタ!$B$3,
          IF(OR($F97=マスタ!$C$3,$F97=マスタ!$C$4,$F97=マスタ!$C$5), 0.6, 0.5),
             IF(ISBLANK($L97), "", $L97)))</f>
        <v/>
      </c>
      <c r="BO97" s="99" t="str">
        <f>IF($T97&lt;&gt;マスタ!$B$3,
        IF(ISBLANK($S97),"",$S97),
             IF($BL97=マスタ!$C$3,0.8,
             IF($BL97=マスタ!$C$4,0.85,
             IF($BL97=マスタ!$C$6,0.9,
             IF($BL97=マスタ!$C$7,0.9,
             IF($BL97=マスタ!$C$5,1,
             IF($BL97=マスタ!$C$8,1,"無効な入力")))))))</f>
        <v/>
      </c>
      <c r="BP97" s="99" t="str">
        <f>IF($Y97&lt;&gt;マスタ!$B$3,
   IF(ISBLANK($X97), "", $X97),
   IF($BL97=マスタ!$C$3, 0.75,
      IF($BL97=マスタ!$C$4, 0.8,
         IF($BL97=マスタ!$C$6, 0.8,
            IF($BL97=マスタ!$C$7, 0.8,
               IF($BL97=マスタ!$C$5, 0.8,
                  IF($BL97=マスタ!$C$8, 0.8, "無効な入力")))))))</f>
        <v/>
      </c>
      <c r="BQ97" s="75"/>
      <c r="BR97" s="75"/>
      <c r="BS97" s="75"/>
      <c r="BT97" s="75"/>
      <c r="BU97" s="75"/>
      <c r="BV97" s="75"/>
      <c r="BW97" s="75"/>
      <c r="BX97" s="75"/>
      <c r="BY97" s="75"/>
    </row>
    <row r="98" spans="3:77" ht="30.75" customHeight="1">
      <c r="C98" s="69" t="str" cm="1">
        <f t="array" aca="1" ref="C98" ca="1">IF(SUMPRODUCT(--($D98:$AU98 &lt;&gt; "")),RIGHT(YEAR(TODAY()),2)&amp;"01"&amp;REPT("0",4-LEN(ROW()-11))&amp;ROW()-11,"")</f>
        <v/>
      </c>
      <c r="D98" s="141"/>
      <c r="E98" s="142"/>
      <c r="F98" s="71"/>
      <c r="G98" s="66"/>
      <c r="H98" s="41" t="str">
        <f>IFERROR(VLOOKUP(G98,マスタ!$D$3:$E$55,2,FALSE),"")</f>
        <v/>
      </c>
      <c r="I98" s="93"/>
      <c r="J98" s="77"/>
      <c r="K98" s="66"/>
      <c r="L98" s="103"/>
      <c r="M98" s="71"/>
      <c r="N98" s="101" t="str">
        <f>IF($M98 = $BM$9, $BM$9,
        IF($L98 = "", "",
              IF(OR(
                          AND(OR($G98 = マスタ!$D$54, $G98 = マスタ!$D$55), $L98 &lt;= $BP$9),
                          AND($G98 &lt;&gt; マスタ!$D$54, $G98 &lt;&gt; マスタ!$D$55, $L98 &lt;= $BQ$9)
                         ), $BM$9, $BN$9)))</f>
        <v/>
      </c>
      <c r="O98" s="71"/>
      <c r="P98" s="101" t="str">
        <f t="shared" si="31"/>
        <v/>
      </c>
      <c r="Q98" s="124"/>
      <c r="R98" s="124"/>
      <c r="S98" s="112" t="str">
        <f t="shared" si="19"/>
        <v/>
      </c>
      <c r="T98" s="71"/>
      <c r="U98" s="41" t="str">
        <f>IF($T98=$BM$9, $BM$9,
        IF($S98="", "",
             IF(OR(AND($BL98=マスタ!$C$3, $S98&lt;=$BS$9),
                        AND($BL98=マスタ!$C$4, $S98&lt;=$BT$9),
                        AND(OR($BL98=マスタ!$C$6, $BL98=マスタ!$C$7), $S98&lt;=$BU$9),
                        AND(OR($BL98=マスタ!$C$5, $BL98=マスタ!$C$8), $S98&lt;=$BV$9)),
                  $BM$9, $BN$9)))</f>
        <v/>
      </c>
      <c r="V98" s="129" t="str">
        <f t="shared" si="16"/>
        <v/>
      </c>
      <c r="W98" s="124"/>
      <c r="X98" s="112" t="str">
        <f t="shared" si="20"/>
        <v/>
      </c>
      <c r="Y98" s="71"/>
      <c r="Z98" s="41" t="str">
        <f>IF($Y98=$BM$9, $BM$9,
        IF(AND($T98 = $BM$9, $Y98 = $BO$9), $BN$9,
             IF($BL98=マスタ!$C$3,
                  IF($X98&lt;=$BW$9, $BM$9,$BN$9),
                       IF(OR($BL98=マスタ!$C$4, $BL98=マスタ!$C$5, $BL98=マスタ!$C$6, $BL98=マスタ!$C$7, $BL98=マスタ!$C$8),
                            IF($X98&lt;=$BX$9, $BM$9,$BN$9), ""))))</f>
        <v/>
      </c>
      <c r="AA98" s="71"/>
      <c r="AB98" s="71"/>
      <c r="AC98" s="71"/>
      <c r="AD98" s="165"/>
      <c r="AE98" s="71"/>
      <c r="AF98" s="165"/>
      <c r="AG98" s="92"/>
      <c r="AH98" s="92"/>
      <c r="AI98" s="92"/>
      <c r="AJ98" s="92"/>
      <c r="AK98" s="121"/>
      <c r="AL98" s="121"/>
      <c r="AM98" s="121"/>
      <c r="AN98" s="121"/>
      <c r="AO98" s="92"/>
      <c r="AP98" s="130" t="str">
        <f t="shared" si="5"/>
        <v/>
      </c>
      <c r="AQ98" s="121"/>
      <c r="AR98" s="101" t="str">
        <f>IF(OR(SUMPRODUCT(--(AJ98:AQ98&lt;&gt;""))&lt;7,AND($AJ98=マスタ!$N$3,$AK98="")), "",
        IF($AJ98=マスタ!$N$5, $BO$9,
              IF(OR($F98=マスタ!$C$3, $F98=マスタ!$C$4, $F98=マスタ!$C$5),
                    IF(SUM($AL98,$AM98,$AP98,$AQ98)&gt;=1, $BM$9, $BN$9),
              IF(OR($F98=マスタ!$C$6, $F98=マスタ!$C$7, $F98=マスタ!$C$8),
                    IF($AK98&lt;10, $BO$9,
                          IF(AND(SUM($AL98,$AM98,$AP98,$AQ98)&gt;=($AK98*0.2), $AM98+$AP98+$AQ98&gt;=1),
                               $BM$9,$BN$9))))))</f>
        <v/>
      </c>
      <c r="AS98" s="101" t="str">
        <f>IF(OR(SUMPRODUCT(--(AJ98:AQ98&lt;&gt;""))&lt;7,AND($AJ98=マスタ!$N$3,$AK98="")), "",
     IF($AR98=$BN$9,$BN$9,
        IF($AJ98=マスタ!$N$5, $BO$9,
             IF(OR($F98=マスタ!$C$3, $F98=マスタ!$C$4, $F98=マスタ!$C$5),
                   IF($AQ98&gt;=1, $BM$9, $BN$9),
             IF(OR($F98=マスタ!$C$6, $F98=マスタ!$C$7, $F98=マスタ!$C$8),
                   IF($AK98&lt;5, IF($AQ98&gt;=1, $BM$9, $BN$9),
                         IF(OR($AQ98&gt;=1,
                                    AND(SUM($AL98,$AM98,$AP98,$AQ98)&gt;=$AK98*0.5, ($AM98+$AP98+$AQ98)&gt;=($AK98*0.2))),
                              $BM$9,$BN$9)))))))</f>
        <v/>
      </c>
      <c r="AT98" s="66"/>
      <c r="AU98" s="143"/>
      <c r="AV98" s="98" t="str" cm="1">
        <f t="array" aca="1" ref="AV98" ca="1">IF(AND($F98:$G98&lt;&gt;"", $I98:$K98&lt;&gt;"",
                 IF(OR($M98=$BM$9,$O98=$BM$9), TRUE, $L98&lt;&gt;""),
                 $M98&lt;&gt;"",$O98&lt;&gt;"",
                 IF($T98=$BM$9, TRUE, $Q98:$R98&lt;&gt;""),
                 IF(AND($BL98&lt;&gt;"", $BL98&lt;&gt;マスタ!$C$5, $BL98&lt;&gt;マスタ!$C$8), TRUE, $T98&lt;&gt;""),
                 IF(OR(AND($T98=$BM$9,  $Y98=$BO$9), $Y98=$BM$9), TRUE,$W98&lt;&gt;""),
                 IF(AND($BL98&lt;&gt;"", $BL98&lt;&gt;マスタ!$C$5, $BL98&lt;&gt;マスタ!$C$8), TRUE, $Y98&lt;&gt;""),
                 $AA98&lt;&gt;"",
                 IF($AA98=マスタ!$F$4, TRUE, $AB98&lt;&gt;""),
                 $AG98:$AO98&lt;&gt;"", $AQ98&lt;&gt;"", $AT98&lt;&gt;""),
        "（正常）入力済み", IF($C98= "", "（複数入力）未入力", "（エラー）一部未入力"))</f>
        <v>（複数入力）未入力</v>
      </c>
      <c r="AW98" s="98" t="str">
        <f t="shared" ca="1" si="6"/>
        <v/>
      </c>
      <c r="AX98" s="98" t="str">
        <f t="shared" ca="1" si="32"/>
        <v/>
      </c>
      <c r="AY98" s="98" t="str">
        <f t="shared" ca="1" si="33"/>
        <v/>
      </c>
      <c r="AZ98" s="98" t="str">
        <f t="shared" ca="1" si="34"/>
        <v/>
      </c>
      <c r="BA98" s="98" t="str">
        <f t="shared" ca="1" si="35"/>
        <v/>
      </c>
      <c r="BB98" s="98" t="str">
        <f t="shared" ca="1" si="36"/>
        <v/>
      </c>
      <c r="BC98" s="98" t="str">
        <f t="shared" ca="1" si="37"/>
        <v/>
      </c>
      <c r="BD98" s="98" t="str">
        <f t="shared" ca="1" si="38"/>
        <v/>
      </c>
      <c r="BE98" s="98" t="str">
        <f>IF($BL98="","",
   IF($T98=入力不可用2,
      IF(OR($BL98=マスタ!$C$5,$BL98=マスタ!$C$8), "未入力", "（正常）規定値"),
      IF(OR($BL98=マスタ!$C$5,$BL98=マスタ!$C$8), "（正常）規定値", "（エラー）値入力不可")))</f>
        <v/>
      </c>
      <c r="BF98" s="98" t="str">
        <f ca="1">IF($C98 = "", "",
       IF(AND(OR($BL98=マスタ!$C$5, $BL98=マスタ!$C$8), $T98 = ""), "未入力",
            IF(AND($Y98 = $BM$9, $T98 = $BO$9), "（エラー）「適合」のみ入力可", "（正常）規定値")))</f>
        <v/>
      </c>
      <c r="BG98" s="98" t="str">
        <f t="shared" ca="1" si="39"/>
        <v/>
      </c>
      <c r="BH98" s="98" t="str">
        <f t="shared" ca="1" si="40"/>
        <v/>
      </c>
      <c r="BI98" s="98" t="str">
        <f>IF($BL98="","",
   IF($Y98=入力不可用2,
      IF(OR($BL98=マスタ!$C$5,$BL98=マスタ!$C$8), "未入力", "（正常）規定値"),
      IF(OR($BL98=マスタ!$C$5,$BL98=マスタ!$C$8), "（正常）規定値", "（エラー）値入力不可")))</f>
        <v/>
      </c>
      <c r="BJ98" s="98" t="str">
        <f>IF($AA98="", "",
        IF($AA98=マスタ!$F$3,
             IF($AB98="", "未入力", "（正常）規定値"),
                  IF($AA98=マスタ!$F$4,
                       IF($AB98&lt;&gt;入力不可用2, "（エラー）値入力不可", "（正常）規定値"))))</f>
        <v/>
      </c>
      <c r="BL98" s="75" t="str">
        <f>IF(OR($F98 = マスタ!$C$5, F98 = マスタ!$C$8), $F98,
        IF(AND($F98 = マスタ!$C$3, 'その１事業者基本情報_入力シート（一部非公開）'!$U$16), $F98,
             IF(AND($F98 = マスタ!$C$4, 'その１事業者基本情報_入力シート（一部非公開）'!$S$16), $F98,
                  IF(AND(OR($F98 = マスタ!$C$6, $F98 = マスタ!$C$7),
                                'その１事業者基本情報_入力シート（一部非公開）'!$W$16), $F98,
                       IF(OR($F98 = マスタ!$C$3, $F98=マスタ!$C$4), マスタ!$C$5,
                            IF(OR($F98 = マスタ!$C$6, $F98 = マスタ!$C$7), マスタ!$C$8, ""))))))</f>
        <v/>
      </c>
      <c r="BM98" s="75" t="str">
        <f>IF($L98&lt;&gt;"", $L98,
       IF($M98 = マスタ!$B$3,
          IF(OR($F98=マスタ!$C$3,$F98=マスタ!$C$4,$F98=マスタ!$C$5),
            IF(OR($G98 = マスタ!$D$54, $G98 = マスタ!$D$55), 0.75, 0.87),
            IF(OR($G98 = マスタ!$D$54, $G98 = マスタ!$D$55), 0.62, 0.72)),
                 IF(ISBLANK($L98), "", $L98)))</f>
        <v/>
      </c>
      <c r="BN98" s="99" t="str">
        <f>IF($L98&lt;&gt;"", $L98,
        IF($O98 = マスタ!$B$3,
          IF(OR($F98=マスタ!$C$3,$F98=マスタ!$C$4,$F98=マスタ!$C$5), 0.6, 0.5),
             IF(ISBLANK($L98), "", $L98)))</f>
        <v/>
      </c>
      <c r="BO98" s="99" t="str">
        <f>IF($T98&lt;&gt;マスタ!$B$3,
        IF(ISBLANK($S98),"",$S98),
             IF($BL98=マスタ!$C$3,0.8,
             IF($BL98=マスタ!$C$4,0.85,
             IF($BL98=マスタ!$C$6,0.9,
             IF($BL98=マスタ!$C$7,0.9,
             IF($BL98=マスタ!$C$5,1,
             IF($BL98=マスタ!$C$8,1,"無効な入力")))))))</f>
        <v/>
      </c>
      <c r="BP98" s="99" t="str">
        <f>IF($Y98&lt;&gt;マスタ!$B$3,
   IF(ISBLANK($X98), "", $X98),
   IF($BL98=マスタ!$C$3, 0.75,
      IF($BL98=マスタ!$C$4, 0.8,
         IF($BL98=マスタ!$C$6, 0.8,
            IF($BL98=マスタ!$C$7, 0.8,
               IF($BL98=マスタ!$C$5, 0.8,
                  IF($BL98=マスタ!$C$8, 0.8, "無効な入力")))))))</f>
        <v/>
      </c>
      <c r="BQ98" s="75"/>
      <c r="BR98" s="75"/>
      <c r="BS98" s="75"/>
      <c r="BT98" s="75"/>
      <c r="BU98" s="75"/>
      <c r="BV98" s="75"/>
      <c r="BW98" s="75"/>
      <c r="BX98" s="75"/>
      <c r="BY98" s="75"/>
    </row>
    <row r="99" spans="3:77" ht="30.75" customHeight="1">
      <c r="C99" s="69" t="str" cm="1">
        <f t="array" aca="1" ref="C99" ca="1">IF(SUMPRODUCT(--($D99:$AU99 &lt;&gt; "")),RIGHT(YEAR(TODAY()),2)&amp;"01"&amp;REPT("0",4-LEN(ROW()-11))&amp;ROW()-11,"")</f>
        <v/>
      </c>
      <c r="D99" s="141"/>
      <c r="E99" s="142"/>
      <c r="F99" s="71"/>
      <c r="G99" s="66"/>
      <c r="H99" s="41" t="str">
        <f>IFERROR(VLOOKUP(G99,マスタ!$D$3:$E$55,2,FALSE),"")</f>
        <v/>
      </c>
      <c r="I99" s="93"/>
      <c r="J99" s="77"/>
      <c r="K99" s="66"/>
      <c r="L99" s="103"/>
      <c r="M99" s="71"/>
      <c r="N99" s="101" t="str">
        <f>IF($M99 = $BM$9, $BM$9,
        IF($L99 = "", "",
              IF(OR(
                          AND(OR($G99 = マスタ!$D$54, $G99 = マスタ!$D$55), $L99 &lt;= $BP$9),
                          AND($G99 &lt;&gt; マスタ!$D$54, $G99 &lt;&gt; マスタ!$D$55, $L99 &lt;= $BQ$9)
                         ), $BM$9, $BN$9)))</f>
        <v/>
      </c>
      <c r="O99" s="71"/>
      <c r="P99" s="101" t="str">
        <f t="shared" si="31"/>
        <v/>
      </c>
      <c r="Q99" s="124"/>
      <c r="R99" s="124"/>
      <c r="S99" s="112" t="str">
        <f t="shared" si="19"/>
        <v/>
      </c>
      <c r="T99" s="71"/>
      <c r="U99" s="41" t="str">
        <f>IF($T99=$BM$9, $BM$9,
        IF($S99="", "",
             IF(OR(AND($BL99=マスタ!$C$3, $S99&lt;=$BS$9),
                        AND($BL99=マスタ!$C$4, $S99&lt;=$BT$9),
                        AND(OR($BL99=マスタ!$C$6, $BL99=マスタ!$C$7), $S99&lt;=$BU$9),
                        AND(OR($BL99=マスタ!$C$5, $BL99=マスタ!$C$8), $S99&lt;=$BV$9)),
                  $BM$9, $BN$9)))</f>
        <v/>
      </c>
      <c r="V99" s="129" t="str">
        <f t="shared" si="16"/>
        <v/>
      </c>
      <c r="W99" s="124"/>
      <c r="X99" s="112" t="str">
        <f t="shared" si="20"/>
        <v/>
      </c>
      <c r="Y99" s="71"/>
      <c r="Z99" s="41" t="str">
        <f>IF($Y99=$BM$9, $BM$9,
        IF(AND($T99 = $BM$9, $Y99 = $BO$9), $BN$9,
             IF($BL99=マスタ!$C$3,
                  IF($X99&lt;=$BW$9, $BM$9,$BN$9),
                       IF(OR($BL99=マスタ!$C$4, $BL99=マスタ!$C$5, $BL99=マスタ!$C$6, $BL99=マスタ!$C$7, $BL99=マスタ!$C$8),
                            IF($X99&lt;=$BX$9, $BM$9,$BN$9), ""))))</f>
        <v/>
      </c>
      <c r="AA99" s="71"/>
      <c r="AB99" s="71"/>
      <c r="AC99" s="71"/>
      <c r="AD99" s="165"/>
      <c r="AE99" s="71"/>
      <c r="AF99" s="165"/>
      <c r="AG99" s="92"/>
      <c r="AH99" s="92"/>
      <c r="AI99" s="92"/>
      <c r="AJ99" s="92"/>
      <c r="AK99" s="121"/>
      <c r="AL99" s="121"/>
      <c r="AM99" s="121"/>
      <c r="AN99" s="121"/>
      <c r="AO99" s="92"/>
      <c r="AP99" s="130" t="str">
        <f t="shared" si="5"/>
        <v/>
      </c>
      <c r="AQ99" s="121"/>
      <c r="AR99" s="101" t="str">
        <f>IF(OR(SUMPRODUCT(--(AJ99:AQ99&lt;&gt;""))&lt;7,AND($AJ99=マスタ!$N$3,$AK99="")), "",
        IF($AJ99=マスタ!$N$5, $BO$9,
              IF(OR($F99=マスタ!$C$3, $F99=マスタ!$C$4, $F99=マスタ!$C$5),
                    IF(SUM($AL99,$AM99,$AP99,$AQ99)&gt;=1, $BM$9, $BN$9),
              IF(OR($F99=マスタ!$C$6, $F99=マスタ!$C$7, $F99=マスタ!$C$8),
                    IF($AK99&lt;10, $BO$9,
                          IF(AND(SUM($AL99,$AM99,$AP99,$AQ99)&gt;=($AK99*0.2), $AM99+$AP99+$AQ99&gt;=1),
                               $BM$9,$BN$9))))))</f>
        <v/>
      </c>
      <c r="AS99" s="101" t="str">
        <f>IF(OR(SUMPRODUCT(--(AJ99:AQ99&lt;&gt;""))&lt;7,AND($AJ99=マスタ!$N$3,$AK99="")), "",
     IF($AR99=$BN$9,$BN$9,
        IF($AJ99=マスタ!$N$5, $BO$9,
             IF(OR($F99=マスタ!$C$3, $F99=マスタ!$C$4, $F99=マスタ!$C$5),
                   IF($AQ99&gt;=1, $BM$9, $BN$9),
             IF(OR($F99=マスタ!$C$6, $F99=マスタ!$C$7, $F99=マスタ!$C$8),
                   IF($AK99&lt;5, IF($AQ99&gt;=1, $BM$9, $BN$9),
                         IF(OR($AQ99&gt;=1,
                                    AND(SUM($AL99,$AM99,$AP99,$AQ99)&gt;=$AK99*0.5, ($AM99+$AP99+$AQ99)&gt;=($AK99*0.2))),
                              $BM$9,$BN$9)))))))</f>
        <v/>
      </c>
      <c r="AT99" s="66"/>
      <c r="AU99" s="143"/>
      <c r="AV99" s="98" t="str" cm="1">
        <f t="array" aca="1" ref="AV99" ca="1">IF(AND($F99:$G99&lt;&gt;"", $I99:$K99&lt;&gt;"",
                 IF(OR($M99=$BM$9,$O99=$BM$9), TRUE, $L99&lt;&gt;""),
                 $M99&lt;&gt;"",$O99&lt;&gt;"",
                 IF($T99=$BM$9, TRUE, $Q99:$R99&lt;&gt;""),
                 IF(AND($BL99&lt;&gt;"", $BL99&lt;&gt;マスタ!$C$5, $BL99&lt;&gt;マスタ!$C$8), TRUE, $T99&lt;&gt;""),
                 IF(OR(AND($T99=$BM$9,  $Y99=$BO$9), $Y99=$BM$9), TRUE,$W99&lt;&gt;""),
                 IF(AND($BL99&lt;&gt;"", $BL99&lt;&gt;マスタ!$C$5, $BL99&lt;&gt;マスタ!$C$8), TRUE, $Y99&lt;&gt;""),
                 $AA99&lt;&gt;"",
                 IF($AA99=マスタ!$F$4, TRUE, $AB99&lt;&gt;""),
                 $AG99:$AO99&lt;&gt;"", $AQ99&lt;&gt;"", $AT99&lt;&gt;""),
        "（正常）入力済み", IF($C99= "", "（複数入力）未入力", "（エラー）一部未入力"))</f>
        <v>（複数入力）未入力</v>
      </c>
      <c r="AW99" s="98" t="str">
        <f t="shared" ca="1" si="6"/>
        <v/>
      </c>
      <c r="AX99" s="98" t="str">
        <f t="shared" ca="1" si="32"/>
        <v/>
      </c>
      <c r="AY99" s="98" t="str">
        <f t="shared" ca="1" si="33"/>
        <v/>
      </c>
      <c r="AZ99" s="98" t="str">
        <f t="shared" ca="1" si="34"/>
        <v/>
      </c>
      <c r="BA99" s="98" t="str">
        <f t="shared" ca="1" si="35"/>
        <v/>
      </c>
      <c r="BB99" s="98" t="str">
        <f t="shared" ca="1" si="36"/>
        <v/>
      </c>
      <c r="BC99" s="98" t="str">
        <f t="shared" ca="1" si="37"/>
        <v/>
      </c>
      <c r="BD99" s="98" t="str">
        <f t="shared" ca="1" si="38"/>
        <v/>
      </c>
      <c r="BE99" s="98" t="str">
        <f>IF($BL99="","",
   IF($T99=入力不可用2,
      IF(OR($BL99=マスタ!$C$5,$BL99=マスタ!$C$8), "未入力", "（正常）規定値"),
      IF(OR($BL99=マスタ!$C$5,$BL99=マスタ!$C$8), "（正常）規定値", "（エラー）値入力不可")))</f>
        <v/>
      </c>
      <c r="BF99" s="98" t="str">
        <f ca="1">IF($C99 = "", "",
       IF(AND(OR($BL99=マスタ!$C$5, $BL99=マスタ!$C$8), $T99 = ""), "未入力",
            IF(AND($Y99 = $BM$9, $T99 = $BO$9), "（エラー）「適合」のみ入力可", "（正常）規定値")))</f>
        <v/>
      </c>
      <c r="BG99" s="98" t="str">
        <f t="shared" ca="1" si="39"/>
        <v/>
      </c>
      <c r="BH99" s="98" t="str">
        <f t="shared" ca="1" si="40"/>
        <v/>
      </c>
      <c r="BI99" s="98" t="str">
        <f>IF($BL99="","",
   IF($Y99=入力不可用2,
      IF(OR($BL99=マスタ!$C$5,$BL99=マスタ!$C$8), "未入力", "（正常）規定値"),
      IF(OR($BL99=マスタ!$C$5,$BL99=マスタ!$C$8), "（正常）規定値", "（エラー）値入力不可")))</f>
        <v/>
      </c>
      <c r="BJ99" s="98" t="str">
        <f>IF($AA99="", "",
        IF($AA99=マスタ!$F$3,
             IF($AB99="", "未入力", "（正常）規定値"),
                  IF($AA99=マスタ!$F$4,
                       IF($AB99&lt;&gt;入力不可用2, "（エラー）値入力不可", "（正常）規定値"))))</f>
        <v/>
      </c>
      <c r="BL99" s="75" t="str">
        <f>IF(OR($F99 = マスタ!$C$5, F99 = マスタ!$C$8), $F99,
        IF(AND($F99 = マスタ!$C$3, 'その１事業者基本情報_入力シート（一部非公開）'!$U$16), $F99,
             IF(AND($F99 = マスタ!$C$4, 'その１事業者基本情報_入力シート（一部非公開）'!$S$16), $F99,
                  IF(AND(OR($F99 = マスタ!$C$6, $F99 = マスタ!$C$7),
                                'その１事業者基本情報_入力シート（一部非公開）'!$W$16), $F99,
                       IF(OR($F99 = マスタ!$C$3, $F99=マスタ!$C$4), マスタ!$C$5,
                            IF(OR($F99 = マスタ!$C$6, $F99 = マスタ!$C$7), マスタ!$C$8, ""))))))</f>
        <v/>
      </c>
      <c r="BM99" s="75" t="str">
        <f>IF($L99&lt;&gt;"", $L99,
       IF($M99 = マスタ!$B$3,
          IF(OR($F99=マスタ!$C$3,$F99=マスタ!$C$4,$F99=マスタ!$C$5),
            IF(OR($G99 = マスタ!$D$54, $G99 = マスタ!$D$55), 0.75, 0.87),
            IF(OR($G99 = マスタ!$D$54, $G99 = マスタ!$D$55), 0.62, 0.72)),
                 IF(ISBLANK($L99), "", $L99)))</f>
        <v/>
      </c>
      <c r="BN99" s="99" t="str">
        <f>IF($L99&lt;&gt;"", $L99,
        IF($O99 = マスタ!$B$3,
          IF(OR($F99=マスタ!$C$3,$F99=マスタ!$C$4,$F99=マスタ!$C$5), 0.6, 0.5),
             IF(ISBLANK($L99), "", $L99)))</f>
        <v/>
      </c>
      <c r="BO99" s="99" t="str">
        <f>IF($T99&lt;&gt;マスタ!$B$3,
        IF(ISBLANK($S99),"",$S99),
             IF($BL99=マスタ!$C$3,0.8,
             IF($BL99=マスタ!$C$4,0.85,
             IF($BL99=マスタ!$C$6,0.9,
             IF($BL99=マスタ!$C$7,0.9,
             IF($BL99=マスタ!$C$5,1,
             IF($BL99=マスタ!$C$8,1,"無効な入力")))))))</f>
        <v/>
      </c>
      <c r="BP99" s="99" t="str">
        <f>IF($Y99&lt;&gt;マスタ!$B$3,
   IF(ISBLANK($X99), "", $X99),
   IF($BL99=マスタ!$C$3, 0.75,
      IF($BL99=マスタ!$C$4, 0.8,
         IF($BL99=マスタ!$C$6, 0.8,
            IF($BL99=マスタ!$C$7, 0.8,
               IF($BL99=マスタ!$C$5, 0.8,
                  IF($BL99=マスタ!$C$8, 0.8, "無効な入力")))))))</f>
        <v/>
      </c>
      <c r="BQ99" s="75"/>
      <c r="BR99" s="75"/>
      <c r="BS99" s="75"/>
      <c r="BT99" s="75"/>
      <c r="BU99" s="75"/>
      <c r="BV99" s="75"/>
      <c r="BW99" s="75"/>
      <c r="BX99" s="75"/>
      <c r="BY99" s="75"/>
    </row>
    <row r="100" spans="3:77" ht="30.75" customHeight="1">
      <c r="C100" s="69" t="str" cm="1">
        <f t="array" aca="1" ref="C100" ca="1">IF(SUMPRODUCT(--($D100:$AU100 &lt;&gt; "")),RIGHT(YEAR(TODAY()),2)&amp;"01"&amp;REPT("0",4-LEN(ROW()-11))&amp;ROW()-11,"")</f>
        <v/>
      </c>
      <c r="D100" s="141"/>
      <c r="E100" s="142"/>
      <c r="F100" s="71"/>
      <c r="G100" s="66"/>
      <c r="H100" s="41" t="str">
        <f>IFERROR(VLOOKUP(G100,マスタ!$D$3:$E$55,2,FALSE),"")</f>
        <v/>
      </c>
      <c r="I100" s="93"/>
      <c r="J100" s="77"/>
      <c r="K100" s="66"/>
      <c r="L100" s="103"/>
      <c r="M100" s="71"/>
      <c r="N100" s="101" t="str">
        <f>IF($M100 = $BM$9, $BM$9,
        IF($L100 = "", "",
              IF(OR(
                          AND(OR($G100 = マスタ!$D$54, $G100 = マスタ!$D$55), $L100 &lt;= $BP$9),
                          AND($G100 &lt;&gt; マスタ!$D$54, $G100 &lt;&gt; マスタ!$D$55, $L100 &lt;= $BQ$9)
                         ), $BM$9, $BN$9)))</f>
        <v/>
      </c>
      <c r="O100" s="71"/>
      <c r="P100" s="101" t="str">
        <f t="shared" si="31"/>
        <v/>
      </c>
      <c r="Q100" s="124"/>
      <c r="R100" s="124"/>
      <c r="S100" s="112" t="str">
        <f t="shared" si="19"/>
        <v/>
      </c>
      <c r="T100" s="71"/>
      <c r="U100" s="41" t="str">
        <f>IF($T100=$BM$9, $BM$9,
        IF($S100="", "",
             IF(OR(AND($BL100=マスタ!$C$3, $S100&lt;=$BS$9),
                        AND($BL100=マスタ!$C$4, $S100&lt;=$BT$9),
                        AND(OR($BL100=マスタ!$C$6, $BL100=マスタ!$C$7), $S100&lt;=$BU$9),
                        AND(OR($BL100=マスタ!$C$5, $BL100=マスタ!$C$8), $S100&lt;=$BV$9)),
                  $BM$9, $BN$9)))</f>
        <v/>
      </c>
      <c r="V100" s="129" t="str">
        <f t="shared" si="16"/>
        <v/>
      </c>
      <c r="W100" s="124"/>
      <c r="X100" s="112" t="str">
        <f t="shared" si="20"/>
        <v/>
      </c>
      <c r="Y100" s="71"/>
      <c r="Z100" s="41" t="str">
        <f>IF($Y100=$BM$9, $BM$9,
        IF(AND($T100 = $BM$9, $Y100 = $BO$9), $BN$9,
             IF($BL100=マスタ!$C$3,
                  IF($X100&lt;=$BW$9, $BM$9,$BN$9),
                       IF(OR($BL100=マスタ!$C$4, $BL100=マスタ!$C$5, $BL100=マスタ!$C$6, $BL100=マスタ!$C$7, $BL100=マスタ!$C$8),
                            IF($X100&lt;=$BX$9, $BM$9,$BN$9), ""))))</f>
        <v/>
      </c>
      <c r="AA100" s="71"/>
      <c r="AB100" s="71"/>
      <c r="AC100" s="71"/>
      <c r="AD100" s="165"/>
      <c r="AE100" s="71"/>
      <c r="AF100" s="165"/>
      <c r="AG100" s="92"/>
      <c r="AH100" s="92"/>
      <c r="AI100" s="92"/>
      <c r="AJ100" s="92"/>
      <c r="AK100" s="121"/>
      <c r="AL100" s="121"/>
      <c r="AM100" s="121"/>
      <c r="AN100" s="121"/>
      <c r="AO100" s="92"/>
      <c r="AP100" s="130" t="str">
        <f t="shared" si="5"/>
        <v/>
      </c>
      <c r="AQ100" s="121"/>
      <c r="AR100" s="101" t="str">
        <f>IF(OR(SUMPRODUCT(--(AJ100:AQ100&lt;&gt;""))&lt;7,AND($AJ100=マスタ!$N$3,$AK100="")), "",
        IF($AJ100=マスタ!$N$5, $BO$9,
              IF(OR($F100=マスタ!$C$3, $F100=マスタ!$C$4, $F100=マスタ!$C$5),
                    IF(SUM($AL100,$AM100,$AP100,$AQ100)&gt;=1, $BM$9, $BN$9),
              IF(OR($F100=マスタ!$C$6, $F100=マスタ!$C$7, $F100=マスタ!$C$8),
                    IF($AK100&lt;10, $BO$9,
                          IF(AND(SUM($AL100,$AM100,$AP100,$AQ100)&gt;=($AK100*0.2), $AM100+$AP100+$AQ100&gt;=1),
                               $BM$9,$BN$9))))))</f>
        <v/>
      </c>
      <c r="AS100" s="101" t="str">
        <f>IF(OR(SUMPRODUCT(--(AJ100:AQ100&lt;&gt;""))&lt;7,AND($AJ100=マスタ!$N$3,$AK100="")), "",
     IF($AR100=$BN$9,$BN$9,
        IF($AJ100=マスタ!$N$5, $BO$9,
             IF(OR($F100=マスタ!$C$3, $F100=マスタ!$C$4, $F100=マスタ!$C$5),
                   IF($AQ100&gt;=1, $BM$9, $BN$9),
             IF(OR($F100=マスタ!$C$6, $F100=マスタ!$C$7, $F100=マスタ!$C$8),
                   IF($AK100&lt;5, IF($AQ100&gt;=1, $BM$9, $BN$9),
                         IF(OR($AQ100&gt;=1,
                                    AND(SUM($AL100,$AM100,$AP100,$AQ100)&gt;=$AK100*0.5, ($AM100+$AP100+$AQ100)&gt;=($AK100*0.2))),
                              $BM$9,$BN$9)))))))</f>
        <v/>
      </c>
      <c r="AT100" s="66"/>
      <c r="AU100" s="143"/>
      <c r="AV100" s="98" t="str" cm="1">
        <f t="array" aca="1" ref="AV100" ca="1">IF(AND($F100:$G100&lt;&gt;"", $I100:$K100&lt;&gt;"",
                 IF(OR($M100=$BM$9,$O100=$BM$9), TRUE, $L100&lt;&gt;""),
                 $M100&lt;&gt;"",$O100&lt;&gt;"",
                 IF($T100=$BM$9, TRUE, $Q100:$R100&lt;&gt;""),
                 IF(AND($BL100&lt;&gt;"", $BL100&lt;&gt;マスタ!$C$5, $BL100&lt;&gt;マスタ!$C$8), TRUE, $T100&lt;&gt;""),
                 IF(OR(AND($T100=$BM$9,  $Y100=$BO$9), $Y100=$BM$9), TRUE,$W100&lt;&gt;""),
                 IF(AND($BL100&lt;&gt;"", $BL100&lt;&gt;マスタ!$C$5, $BL100&lt;&gt;マスタ!$C$8), TRUE, $Y100&lt;&gt;""),
                 $AA100&lt;&gt;"",
                 IF($AA100=マスタ!$F$4, TRUE, $AB100&lt;&gt;""),
                 $AG100:$AO100&lt;&gt;"", $AQ100&lt;&gt;"", $AT100&lt;&gt;""),
        "（正常）入力済み", IF($C100= "", "（複数入力）未入力", "（エラー）一部未入力"))</f>
        <v>（複数入力）未入力</v>
      </c>
      <c r="AW100" s="98" t="str">
        <f t="shared" ca="1" si="6"/>
        <v/>
      </c>
      <c r="AX100" s="98" t="str">
        <f t="shared" ca="1" si="32"/>
        <v/>
      </c>
      <c r="AY100" s="98" t="str">
        <f t="shared" ca="1" si="33"/>
        <v/>
      </c>
      <c r="AZ100" s="98" t="str">
        <f t="shared" ca="1" si="34"/>
        <v/>
      </c>
      <c r="BA100" s="98" t="str">
        <f t="shared" ca="1" si="35"/>
        <v/>
      </c>
      <c r="BB100" s="98" t="str">
        <f t="shared" ca="1" si="36"/>
        <v/>
      </c>
      <c r="BC100" s="98" t="str">
        <f t="shared" ca="1" si="37"/>
        <v/>
      </c>
      <c r="BD100" s="98" t="str">
        <f t="shared" ca="1" si="38"/>
        <v/>
      </c>
      <c r="BE100" s="98" t="str">
        <f>IF($BL100="","",
   IF($T100=入力不可用2,
      IF(OR($BL100=マスタ!$C$5,$BL100=マスタ!$C$8), "未入力", "（正常）規定値"),
      IF(OR($BL100=マスタ!$C$5,$BL100=マスタ!$C$8), "（正常）規定値", "（エラー）値入力不可")))</f>
        <v/>
      </c>
      <c r="BF100" s="98" t="str">
        <f ca="1">IF($C100 = "", "",
       IF(AND(OR($BL100=マスタ!$C$5, $BL100=マスタ!$C$8), $T100 = ""), "未入力",
            IF(AND($Y100 = $BM$9, $T100 = $BO$9), "（エラー）「適合」のみ入力可", "（正常）規定値")))</f>
        <v/>
      </c>
      <c r="BG100" s="98" t="str">
        <f t="shared" ca="1" si="39"/>
        <v/>
      </c>
      <c r="BH100" s="98" t="str">
        <f t="shared" ca="1" si="40"/>
        <v/>
      </c>
      <c r="BI100" s="98" t="str">
        <f>IF($BL100="","",
   IF($Y100=入力不可用2,
      IF(OR($BL100=マスタ!$C$5,$BL100=マスタ!$C$8), "未入力", "（正常）規定値"),
      IF(OR($BL100=マスタ!$C$5,$BL100=マスタ!$C$8), "（正常）規定値", "（エラー）値入力不可")))</f>
        <v/>
      </c>
      <c r="BJ100" s="98" t="str">
        <f>IF($AA100="", "",
        IF($AA100=マスタ!$F$3,
             IF($AB100="", "未入力", "（正常）規定値"),
                  IF($AA100=マスタ!$F$4,
                       IF($AB100&lt;&gt;入力不可用2, "（エラー）値入力不可", "（正常）規定値"))))</f>
        <v/>
      </c>
      <c r="BL100" s="75" t="str">
        <f>IF(OR($F100 = マスタ!$C$5, F100 = マスタ!$C$8), $F100,
        IF(AND($F100 = マスタ!$C$3, 'その１事業者基本情報_入力シート（一部非公開）'!$U$16), $F100,
             IF(AND($F100 = マスタ!$C$4, 'その１事業者基本情報_入力シート（一部非公開）'!$S$16), $F100,
                  IF(AND(OR($F100 = マスタ!$C$6, $F100 = マスタ!$C$7),
                                'その１事業者基本情報_入力シート（一部非公開）'!$W$16), $F100,
                       IF(OR($F100 = マスタ!$C$3, $F100=マスタ!$C$4), マスタ!$C$5,
                            IF(OR($F100 = マスタ!$C$6, $F100 = マスタ!$C$7), マスタ!$C$8, ""))))))</f>
        <v/>
      </c>
      <c r="BM100" s="75" t="str">
        <f>IF($L100&lt;&gt;"", $L100,
       IF($M100 = マスタ!$B$3,
          IF(OR($F100=マスタ!$C$3,$F100=マスタ!$C$4,$F100=マスタ!$C$5),
            IF(OR($G100 = マスタ!$D$54, $G100 = マスタ!$D$55), 0.75, 0.87),
            IF(OR($G100 = マスタ!$D$54, $G100 = マスタ!$D$55), 0.62, 0.72)),
                 IF(ISBLANK($L100), "", $L100)))</f>
        <v/>
      </c>
      <c r="BN100" s="99" t="str">
        <f>IF($L100&lt;&gt;"", $L100,
        IF($O100 = マスタ!$B$3,
          IF(OR($F100=マスタ!$C$3,$F100=マスタ!$C$4,$F100=マスタ!$C$5), 0.6, 0.5),
             IF(ISBLANK($L100), "", $L100)))</f>
        <v/>
      </c>
      <c r="BO100" s="99" t="str">
        <f>IF($T100&lt;&gt;マスタ!$B$3,
        IF(ISBLANK($S100),"",$S100),
             IF($BL100=マスタ!$C$3,0.8,
             IF($BL100=マスタ!$C$4,0.85,
             IF($BL100=マスタ!$C$6,0.9,
             IF($BL100=マスタ!$C$7,0.9,
             IF($BL100=マスタ!$C$5,1,
             IF($BL100=マスタ!$C$8,1,"無効な入力")))))))</f>
        <v/>
      </c>
      <c r="BP100" s="99" t="str">
        <f>IF($Y100&lt;&gt;マスタ!$B$3,
   IF(ISBLANK($X100), "", $X100),
   IF($BL100=マスタ!$C$3, 0.75,
      IF($BL100=マスタ!$C$4, 0.8,
         IF($BL100=マスタ!$C$6, 0.8,
            IF($BL100=マスタ!$C$7, 0.8,
               IF($BL100=マスタ!$C$5, 0.8,
                  IF($BL100=マスタ!$C$8, 0.8, "無効な入力")))))))</f>
        <v/>
      </c>
      <c r="BQ100" s="75"/>
      <c r="BR100" s="75"/>
      <c r="BS100" s="75"/>
      <c r="BT100" s="75"/>
      <c r="BU100" s="75"/>
      <c r="BV100" s="75"/>
      <c r="BW100" s="75"/>
      <c r="BX100" s="75"/>
      <c r="BY100" s="75"/>
    </row>
    <row r="101" spans="3:77" ht="30.75" customHeight="1">
      <c r="C101" s="69" t="str" cm="1">
        <f t="array" aca="1" ref="C101" ca="1">IF(SUMPRODUCT(--($D101:$AU101 &lt;&gt; "")),RIGHT(YEAR(TODAY()),2)&amp;"01"&amp;REPT("0",4-LEN(ROW()-11))&amp;ROW()-11,"")</f>
        <v/>
      </c>
      <c r="D101" s="141"/>
      <c r="E101" s="142"/>
      <c r="F101" s="71"/>
      <c r="G101" s="66"/>
      <c r="H101" s="41" t="str">
        <f>IFERROR(VLOOKUP(G101,マスタ!$D$3:$E$55,2,FALSE),"")</f>
        <v/>
      </c>
      <c r="I101" s="93"/>
      <c r="J101" s="77"/>
      <c r="K101" s="66"/>
      <c r="L101" s="103"/>
      <c r="M101" s="71"/>
      <c r="N101" s="101" t="str">
        <f>IF($M101 = $BM$9, $BM$9,
        IF($L101 = "", "",
              IF(OR(
                          AND(OR($G101 = マスタ!$D$54, $G101 = マスタ!$D$55), $L101 &lt;= $BP$9),
                          AND($G101 &lt;&gt; マスタ!$D$54, $G101 &lt;&gt; マスタ!$D$55, $L101 &lt;= $BQ$9)
                         ), $BM$9, $BN$9)))</f>
        <v/>
      </c>
      <c r="O101" s="71"/>
      <c r="P101" s="101" t="str">
        <f t="shared" si="31"/>
        <v/>
      </c>
      <c r="Q101" s="124"/>
      <c r="R101" s="124"/>
      <c r="S101" s="112" t="str">
        <f t="shared" si="19"/>
        <v/>
      </c>
      <c r="T101" s="71"/>
      <c r="U101" s="41" t="str">
        <f>IF($T101=$BM$9, $BM$9,
        IF($S101="", "",
             IF(OR(AND($BL101=マスタ!$C$3, $S101&lt;=$BS$9),
                        AND($BL101=マスタ!$C$4, $S101&lt;=$BT$9),
                        AND(OR($BL101=マスタ!$C$6, $BL101=マスタ!$C$7), $S101&lt;=$BU$9),
                        AND(OR($BL101=マスタ!$C$5, $BL101=マスタ!$C$8), $S101&lt;=$BV$9)),
                  $BM$9, $BN$9)))</f>
        <v/>
      </c>
      <c r="V101" s="129" t="str">
        <f t="shared" si="16"/>
        <v/>
      </c>
      <c r="W101" s="124"/>
      <c r="X101" s="112" t="str">
        <f t="shared" si="20"/>
        <v/>
      </c>
      <c r="Y101" s="71"/>
      <c r="Z101" s="41" t="str">
        <f>IF($Y101=$BM$9, $BM$9,
        IF(AND($T101 = $BM$9, $Y101 = $BO$9), $BN$9,
             IF($BL101=マスタ!$C$3,
                  IF($X101&lt;=$BW$9, $BM$9,$BN$9),
                       IF(OR($BL101=マスタ!$C$4, $BL101=マスタ!$C$5, $BL101=マスタ!$C$6, $BL101=マスタ!$C$7, $BL101=マスタ!$C$8),
                            IF($X101&lt;=$BX$9, $BM$9,$BN$9), ""))))</f>
        <v/>
      </c>
      <c r="AA101" s="71"/>
      <c r="AB101" s="71"/>
      <c r="AC101" s="71"/>
      <c r="AD101" s="165"/>
      <c r="AE101" s="71"/>
      <c r="AF101" s="165"/>
      <c r="AG101" s="92"/>
      <c r="AH101" s="92"/>
      <c r="AI101" s="92"/>
      <c r="AJ101" s="92"/>
      <c r="AK101" s="121"/>
      <c r="AL101" s="121"/>
      <c r="AM101" s="121"/>
      <c r="AN101" s="121"/>
      <c r="AO101" s="92"/>
      <c r="AP101" s="130" t="str">
        <f t="shared" si="5"/>
        <v/>
      </c>
      <c r="AQ101" s="121"/>
      <c r="AR101" s="101" t="str">
        <f>IF(OR(SUMPRODUCT(--(AJ101:AQ101&lt;&gt;""))&lt;7,AND($AJ101=マスタ!$N$3,$AK101="")), "",
        IF($AJ101=マスタ!$N$5, $BO$9,
              IF(OR($F101=マスタ!$C$3, $F101=マスタ!$C$4, $F101=マスタ!$C$5),
                    IF(SUM($AL101,$AM101,$AP101,$AQ101)&gt;=1, $BM$9, $BN$9),
              IF(OR($F101=マスタ!$C$6, $F101=マスタ!$C$7, $F101=マスタ!$C$8),
                    IF($AK101&lt;10, $BO$9,
                          IF(AND(SUM($AL101,$AM101,$AP101,$AQ101)&gt;=($AK101*0.2), $AM101+$AP101+$AQ101&gt;=1),
                               $BM$9,$BN$9))))))</f>
        <v/>
      </c>
      <c r="AS101" s="101" t="str">
        <f>IF(OR(SUMPRODUCT(--(AJ101:AQ101&lt;&gt;""))&lt;7,AND($AJ101=マスタ!$N$3,$AK101="")), "",
     IF($AR101=$BN$9,$BN$9,
        IF($AJ101=マスタ!$N$5, $BO$9,
             IF(OR($F101=マスタ!$C$3, $F101=マスタ!$C$4, $F101=マスタ!$C$5),
                   IF($AQ101&gt;=1, $BM$9, $BN$9),
             IF(OR($F101=マスタ!$C$6, $F101=マスタ!$C$7, $F101=マスタ!$C$8),
                   IF($AK101&lt;5, IF($AQ101&gt;=1, $BM$9, $BN$9),
                         IF(OR($AQ101&gt;=1,
                                    AND(SUM($AL101,$AM101,$AP101,$AQ101)&gt;=$AK101*0.5, ($AM101+$AP101+$AQ101)&gt;=($AK101*0.2))),
                              $BM$9,$BN$9)))))))</f>
        <v/>
      </c>
      <c r="AT101" s="66"/>
      <c r="AU101" s="143"/>
      <c r="AV101" s="98" t="str" cm="1">
        <f t="array" aca="1" ref="AV101" ca="1">IF(AND($F101:$G101&lt;&gt;"", $I101:$K101&lt;&gt;"",
                 IF(OR($M101=$BM$9,$O101=$BM$9), TRUE, $L101&lt;&gt;""),
                 $M101&lt;&gt;"",$O101&lt;&gt;"",
                 IF($T101=$BM$9, TRUE, $Q101:$R101&lt;&gt;""),
                 IF(AND($BL101&lt;&gt;"", $BL101&lt;&gt;マスタ!$C$5, $BL101&lt;&gt;マスタ!$C$8), TRUE, $T101&lt;&gt;""),
                 IF(OR(AND($T101=$BM$9,  $Y101=$BO$9), $Y101=$BM$9), TRUE,$W101&lt;&gt;""),
                 IF(AND($BL101&lt;&gt;"", $BL101&lt;&gt;マスタ!$C$5, $BL101&lt;&gt;マスタ!$C$8), TRUE, $Y101&lt;&gt;""),
                 $AA101&lt;&gt;"",
                 IF($AA101=マスタ!$F$4, TRUE, $AB101&lt;&gt;""),
                 $AG101:$AO101&lt;&gt;"", $AQ101&lt;&gt;"", $AT101&lt;&gt;""),
        "（正常）入力済み", IF($C101= "", "（複数入力）未入力", "（エラー）一部未入力"))</f>
        <v>（複数入力）未入力</v>
      </c>
      <c r="AW101" s="98" t="str">
        <f t="shared" ca="1" si="6"/>
        <v/>
      </c>
      <c r="AX101" s="98" t="str">
        <f t="shared" ca="1" si="32"/>
        <v/>
      </c>
      <c r="AY101" s="98" t="str">
        <f t="shared" ca="1" si="33"/>
        <v/>
      </c>
      <c r="AZ101" s="98" t="str">
        <f t="shared" ca="1" si="34"/>
        <v/>
      </c>
      <c r="BA101" s="98" t="str">
        <f t="shared" ca="1" si="35"/>
        <v/>
      </c>
      <c r="BB101" s="98" t="str">
        <f t="shared" ca="1" si="36"/>
        <v/>
      </c>
      <c r="BC101" s="98" t="str">
        <f t="shared" ca="1" si="37"/>
        <v/>
      </c>
      <c r="BD101" s="98" t="str">
        <f t="shared" ca="1" si="38"/>
        <v/>
      </c>
      <c r="BE101" s="98" t="str">
        <f>IF($BL101="","",
   IF($T101=入力不可用2,
      IF(OR($BL101=マスタ!$C$5,$BL101=マスタ!$C$8), "未入力", "（正常）規定値"),
      IF(OR($BL101=マスタ!$C$5,$BL101=マスタ!$C$8), "（正常）規定値", "（エラー）値入力不可")))</f>
        <v/>
      </c>
      <c r="BF101" s="98" t="str">
        <f ca="1">IF($C101 = "", "",
       IF(AND(OR($BL101=マスタ!$C$5, $BL101=マスタ!$C$8), $T101 = ""), "未入力",
            IF(AND($Y101 = $BM$9, $T101 = $BO$9), "（エラー）「適合」のみ入力可", "（正常）規定値")))</f>
        <v/>
      </c>
      <c r="BG101" s="98" t="str">
        <f t="shared" ca="1" si="39"/>
        <v/>
      </c>
      <c r="BH101" s="98" t="str">
        <f t="shared" ca="1" si="40"/>
        <v/>
      </c>
      <c r="BI101" s="98" t="str">
        <f>IF($BL101="","",
   IF($Y101=入力不可用2,
      IF(OR($BL101=マスタ!$C$5,$BL101=マスタ!$C$8), "未入力", "（正常）規定値"),
      IF(OR($BL101=マスタ!$C$5,$BL101=マスタ!$C$8), "（正常）規定値", "（エラー）値入力不可")))</f>
        <v/>
      </c>
      <c r="BJ101" s="98" t="str">
        <f>IF($AA101="", "",
        IF($AA101=マスタ!$F$3,
             IF($AB101="", "未入力", "（正常）規定値"),
                  IF($AA101=マスタ!$F$4,
                       IF($AB101&lt;&gt;入力不可用2, "（エラー）値入力不可", "（正常）規定値"))))</f>
        <v/>
      </c>
      <c r="BL101" s="75" t="str">
        <f>IF(OR($F101 = マスタ!$C$5, F101 = マスタ!$C$8), $F101,
        IF(AND($F101 = マスタ!$C$3, 'その１事業者基本情報_入力シート（一部非公開）'!$U$16), $F101,
             IF(AND($F101 = マスタ!$C$4, 'その１事業者基本情報_入力シート（一部非公開）'!$S$16), $F101,
                  IF(AND(OR($F101 = マスタ!$C$6, $F101 = マスタ!$C$7),
                                'その１事業者基本情報_入力シート（一部非公開）'!$W$16), $F101,
                       IF(OR($F101 = マスタ!$C$3, $F101=マスタ!$C$4), マスタ!$C$5,
                            IF(OR($F101 = マスタ!$C$6, $F101 = マスタ!$C$7), マスタ!$C$8, ""))))))</f>
        <v/>
      </c>
      <c r="BM101" s="75" t="str">
        <f>IF($L101&lt;&gt;"", $L101,
       IF($M101 = マスタ!$B$3,
          IF(OR($F101=マスタ!$C$3,$F101=マスタ!$C$4,$F101=マスタ!$C$5),
            IF(OR($G101 = マスタ!$D$54, $G101 = マスタ!$D$55), 0.75, 0.87),
            IF(OR($G101 = マスタ!$D$54, $G101 = マスタ!$D$55), 0.62, 0.72)),
                 IF(ISBLANK($L101), "", $L101)))</f>
        <v/>
      </c>
      <c r="BN101" s="99" t="str">
        <f>IF($L101&lt;&gt;"", $L101,
        IF($O101 = マスタ!$B$3,
          IF(OR($F101=マスタ!$C$3,$F101=マスタ!$C$4,$F101=マスタ!$C$5), 0.6, 0.5),
             IF(ISBLANK($L101), "", $L101)))</f>
        <v/>
      </c>
      <c r="BO101" s="99" t="str">
        <f>IF($T101&lt;&gt;マスタ!$B$3,
        IF(ISBLANK($S101),"",$S101),
             IF($BL101=マスタ!$C$3,0.8,
             IF($BL101=マスタ!$C$4,0.85,
             IF($BL101=マスタ!$C$6,0.9,
             IF($BL101=マスタ!$C$7,0.9,
             IF($BL101=マスタ!$C$5,1,
             IF($BL101=マスタ!$C$8,1,"無効な入力")))))))</f>
        <v/>
      </c>
      <c r="BP101" s="99" t="str">
        <f>IF($Y101&lt;&gt;マスタ!$B$3,
   IF(ISBLANK($X101), "", $X101),
   IF($BL101=マスタ!$C$3, 0.75,
      IF($BL101=マスタ!$C$4, 0.8,
         IF($BL101=マスタ!$C$6, 0.8,
            IF($BL101=マスタ!$C$7, 0.8,
               IF($BL101=マスタ!$C$5, 0.8,
                  IF($BL101=マスタ!$C$8, 0.8, "無効な入力")))))))</f>
        <v/>
      </c>
      <c r="BQ101" s="75"/>
      <c r="BR101" s="75"/>
      <c r="BS101" s="75"/>
      <c r="BT101" s="75"/>
      <c r="BU101" s="75"/>
      <c r="BV101" s="75"/>
      <c r="BW101" s="75"/>
      <c r="BX101" s="75"/>
      <c r="BY101" s="75"/>
    </row>
    <row r="102" spans="3:77" ht="30.75" customHeight="1">
      <c r="C102" s="69" t="str" cm="1">
        <f t="array" aca="1" ref="C102" ca="1">IF(SUMPRODUCT(--($D102:$AU102 &lt;&gt; "")),RIGHT(YEAR(TODAY()),2)&amp;"01"&amp;REPT("0",4-LEN(ROW()-11))&amp;ROW()-11,"")</f>
        <v/>
      </c>
      <c r="D102" s="141"/>
      <c r="E102" s="142"/>
      <c r="F102" s="71"/>
      <c r="G102" s="66"/>
      <c r="H102" s="41" t="str">
        <f>IFERROR(VLOOKUP(G102,マスタ!$D$3:$E$55,2,FALSE),"")</f>
        <v/>
      </c>
      <c r="I102" s="93"/>
      <c r="J102" s="77"/>
      <c r="K102" s="66"/>
      <c r="L102" s="103"/>
      <c r="M102" s="71"/>
      <c r="N102" s="101" t="str">
        <f>IF($M102 = $BM$9, $BM$9,
        IF($L102 = "", "",
              IF(OR(
                          AND(OR($G102 = マスタ!$D$54, $G102 = マスタ!$D$55), $L102 &lt;= $BP$9),
                          AND($G102 &lt;&gt; マスタ!$D$54, $G102 &lt;&gt; マスタ!$D$55, $L102 &lt;= $BQ$9)
                         ), $BM$9, $BN$9)))</f>
        <v/>
      </c>
      <c r="O102" s="71"/>
      <c r="P102" s="101" t="str">
        <f t="shared" si="31"/>
        <v/>
      </c>
      <c r="Q102" s="124"/>
      <c r="R102" s="124"/>
      <c r="S102" s="112" t="str">
        <f t="shared" si="19"/>
        <v/>
      </c>
      <c r="T102" s="71"/>
      <c r="U102" s="41" t="str">
        <f>IF($T102=$BM$9, $BM$9,
        IF($S102="", "",
             IF(OR(AND($BL102=マスタ!$C$3, $S102&lt;=$BS$9),
                        AND($BL102=マスタ!$C$4, $S102&lt;=$BT$9),
                        AND(OR($BL102=マスタ!$C$6, $BL102=マスタ!$C$7), $S102&lt;=$BU$9),
                        AND(OR($BL102=マスタ!$C$5, $BL102=マスタ!$C$8), $S102&lt;=$BV$9)),
                  $BM$9, $BN$9)))</f>
        <v/>
      </c>
      <c r="V102" s="129" t="str">
        <f t="shared" si="16"/>
        <v/>
      </c>
      <c r="W102" s="124"/>
      <c r="X102" s="112" t="str">
        <f t="shared" si="20"/>
        <v/>
      </c>
      <c r="Y102" s="71"/>
      <c r="Z102" s="41" t="str">
        <f>IF($Y102=$BM$9, $BM$9,
        IF(AND($T102 = $BM$9, $Y102 = $BO$9), $BN$9,
             IF($BL102=マスタ!$C$3,
                  IF($X102&lt;=$BW$9, $BM$9,$BN$9),
                       IF(OR($BL102=マスタ!$C$4, $BL102=マスタ!$C$5, $BL102=マスタ!$C$6, $BL102=マスタ!$C$7, $BL102=マスタ!$C$8),
                            IF($X102&lt;=$BX$9, $BM$9,$BN$9), ""))))</f>
        <v/>
      </c>
      <c r="AA102" s="71"/>
      <c r="AB102" s="71"/>
      <c r="AC102" s="71"/>
      <c r="AD102" s="165"/>
      <c r="AE102" s="71"/>
      <c r="AF102" s="165"/>
      <c r="AG102" s="92"/>
      <c r="AH102" s="92"/>
      <c r="AI102" s="92"/>
      <c r="AJ102" s="92"/>
      <c r="AK102" s="121"/>
      <c r="AL102" s="121"/>
      <c r="AM102" s="121"/>
      <c r="AN102" s="121"/>
      <c r="AO102" s="92"/>
      <c r="AP102" s="130" t="str">
        <f t="shared" si="5"/>
        <v/>
      </c>
      <c r="AQ102" s="121"/>
      <c r="AR102" s="101" t="str">
        <f>IF(OR(SUMPRODUCT(--(AJ102:AQ102&lt;&gt;""))&lt;7,AND($AJ102=マスタ!$N$3,$AK102="")), "",
        IF($AJ102=マスタ!$N$5, $BO$9,
              IF(OR($F102=マスタ!$C$3, $F102=マスタ!$C$4, $F102=マスタ!$C$5),
                    IF(SUM($AL102,$AM102,$AP102,$AQ102)&gt;=1, $BM$9, $BN$9),
              IF(OR($F102=マスタ!$C$6, $F102=マスタ!$C$7, $F102=マスタ!$C$8),
                    IF($AK102&lt;10, $BO$9,
                          IF(AND(SUM($AL102,$AM102,$AP102,$AQ102)&gt;=($AK102*0.2), $AM102+$AP102+$AQ102&gt;=1),
                               $BM$9,$BN$9))))))</f>
        <v/>
      </c>
      <c r="AS102" s="101" t="str">
        <f>IF(OR(SUMPRODUCT(--(AJ102:AQ102&lt;&gt;""))&lt;7,AND($AJ102=マスタ!$N$3,$AK102="")), "",
     IF($AR102=$BN$9,$BN$9,
        IF($AJ102=マスタ!$N$5, $BO$9,
             IF(OR($F102=マスタ!$C$3, $F102=マスタ!$C$4, $F102=マスタ!$C$5),
                   IF($AQ102&gt;=1, $BM$9, $BN$9),
             IF(OR($F102=マスタ!$C$6, $F102=マスタ!$C$7, $F102=マスタ!$C$8),
                   IF($AK102&lt;5, IF($AQ102&gt;=1, $BM$9, $BN$9),
                         IF(OR($AQ102&gt;=1,
                                    AND(SUM($AL102,$AM102,$AP102,$AQ102)&gt;=$AK102*0.5, ($AM102+$AP102+$AQ102)&gt;=($AK102*0.2))),
                              $BM$9,$BN$9)))))))</f>
        <v/>
      </c>
      <c r="AT102" s="66"/>
      <c r="AU102" s="143"/>
      <c r="AV102" s="98" t="str" cm="1">
        <f t="array" aca="1" ref="AV102" ca="1">IF(AND($F102:$G102&lt;&gt;"", $I102:$K102&lt;&gt;"",
                 IF(OR($M102=$BM$9,$O102=$BM$9), TRUE, $L102&lt;&gt;""),
                 $M102&lt;&gt;"",$O102&lt;&gt;"",
                 IF($T102=$BM$9, TRUE, $Q102:$R102&lt;&gt;""),
                 IF(AND($BL102&lt;&gt;"", $BL102&lt;&gt;マスタ!$C$5, $BL102&lt;&gt;マスタ!$C$8), TRUE, $T102&lt;&gt;""),
                 IF(OR(AND($T102=$BM$9,  $Y102=$BO$9), $Y102=$BM$9), TRUE,$W102&lt;&gt;""),
                 IF(AND($BL102&lt;&gt;"", $BL102&lt;&gt;マスタ!$C$5, $BL102&lt;&gt;マスタ!$C$8), TRUE, $Y102&lt;&gt;""),
                 $AA102&lt;&gt;"",
                 IF($AA102=マスタ!$F$4, TRUE, $AB102&lt;&gt;""),
                 $AG102:$AO102&lt;&gt;"", $AQ102&lt;&gt;"", $AT102&lt;&gt;""),
        "（正常）入力済み", IF($C102= "", "（複数入力）未入力", "（エラー）一部未入力"))</f>
        <v>（複数入力）未入力</v>
      </c>
      <c r="AW102" s="98" t="str">
        <f t="shared" ca="1" si="6"/>
        <v/>
      </c>
      <c r="AX102" s="98" t="str">
        <f t="shared" ca="1" si="32"/>
        <v/>
      </c>
      <c r="AY102" s="98" t="str">
        <f t="shared" ca="1" si="33"/>
        <v/>
      </c>
      <c r="AZ102" s="98" t="str">
        <f t="shared" ca="1" si="34"/>
        <v/>
      </c>
      <c r="BA102" s="98" t="str">
        <f t="shared" ca="1" si="35"/>
        <v/>
      </c>
      <c r="BB102" s="98" t="str">
        <f t="shared" ca="1" si="36"/>
        <v/>
      </c>
      <c r="BC102" s="98" t="str">
        <f t="shared" ca="1" si="37"/>
        <v/>
      </c>
      <c r="BD102" s="98" t="str">
        <f t="shared" ca="1" si="38"/>
        <v/>
      </c>
      <c r="BE102" s="98" t="str">
        <f>IF($BL102="","",
   IF($T102=入力不可用2,
      IF(OR($BL102=マスタ!$C$5,$BL102=マスタ!$C$8), "未入力", "（正常）規定値"),
      IF(OR($BL102=マスタ!$C$5,$BL102=マスタ!$C$8), "（正常）規定値", "（エラー）値入力不可")))</f>
        <v/>
      </c>
      <c r="BF102" s="98" t="str">
        <f ca="1">IF($C102 = "", "",
       IF(AND(OR($BL102=マスタ!$C$5, $BL102=マスタ!$C$8), $T102 = ""), "未入力",
            IF(AND($Y102 = $BM$9, $T102 = $BO$9), "（エラー）「適合」のみ入力可", "（正常）規定値")))</f>
        <v/>
      </c>
      <c r="BG102" s="98" t="str">
        <f t="shared" ca="1" si="39"/>
        <v/>
      </c>
      <c r="BH102" s="98" t="str">
        <f t="shared" ca="1" si="40"/>
        <v/>
      </c>
      <c r="BI102" s="98" t="str">
        <f>IF($BL102="","",
   IF($Y102=入力不可用2,
      IF(OR($BL102=マスタ!$C$5,$BL102=マスタ!$C$8), "未入力", "（正常）規定値"),
      IF(OR($BL102=マスタ!$C$5,$BL102=マスタ!$C$8), "（正常）規定値", "（エラー）値入力不可")))</f>
        <v/>
      </c>
      <c r="BJ102" s="98" t="str">
        <f>IF($AA102="", "",
        IF($AA102=マスタ!$F$3,
             IF($AB102="", "未入力", "（正常）規定値"),
                  IF($AA102=マスタ!$F$4,
                       IF($AB102&lt;&gt;入力不可用2, "（エラー）値入力不可", "（正常）規定値"))))</f>
        <v/>
      </c>
      <c r="BL102" s="75" t="str">
        <f>IF(OR($F102 = マスタ!$C$5, F102 = マスタ!$C$8), $F102,
        IF(AND($F102 = マスタ!$C$3, 'その１事業者基本情報_入力シート（一部非公開）'!$U$16), $F102,
             IF(AND($F102 = マスタ!$C$4, 'その１事業者基本情報_入力シート（一部非公開）'!$S$16), $F102,
                  IF(AND(OR($F102 = マスタ!$C$6, $F102 = マスタ!$C$7),
                                'その１事業者基本情報_入力シート（一部非公開）'!$W$16), $F102,
                       IF(OR($F102 = マスタ!$C$3, $F102=マスタ!$C$4), マスタ!$C$5,
                            IF(OR($F102 = マスタ!$C$6, $F102 = マスタ!$C$7), マスタ!$C$8, ""))))))</f>
        <v/>
      </c>
      <c r="BM102" s="75" t="str">
        <f>IF($L102&lt;&gt;"", $L102,
       IF($M102 = マスタ!$B$3,
          IF(OR($F102=マスタ!$C$3,$F102=マスタ!$C$4,$F102=マスタ!$C$5),
            IF(OR($G102 = マスタ!$D$54, $G102 = マスタ!$D$55), 0.75, 0.87),
            IF(OR($G102 = マスタ!$D$54, $G102 = マスタ!$D$55), 0.62, 0.72)),
                 IF(ISBLANK($L102), "", $L102)))</f>
        <v/>
      </c>
      <c r="BN102" s="99" t="str">
        <f>IF($L102&lt;&gt;"", $L102,
        IF($O102 = マスタ!$B$3,
          IF(OR($F102=マスタ!$C$3,$F102=マスタ!$C$4,$F102=マスタ!$C$5), 0.6, 0.5),
             IF(ISBLANK($L102), "", $L102)))</f>
        <v/>
      </c>
      <c r="BO102" s="99" t="str">
        <f>IF($T102&lt;&gt;マスタ!$B$3,
        IF(ISBLANK($S102),"",$S102),
             IF($BL102=マスタ!$C$3,0.8,
             IF($BL102=マスタ!$C$4,0.85,
             IF($BL102=マスタ!$C$6,0.9,
             IF($BL102=マスタ!$C$7,0.9,
             IF($BL102=マスタ!$C$5,1,
             IF($BL102=マスタ!$C$8,1,"無効な入力")))))))</f>
        <v/>
      </c>
      <c r="BP102" s="99" t="str">
        <f>IF($Y102&lt;&gt;マスタ!$B$3,
   IF(ISBLANK($X102), "", $X102),
   IF($BL102=マスタ!$C$3, 0.75,
      IF($BL102=マスタ!$C$4, 0.8,
         IF($BL102=マスタ!$C$6, 0.8,
            IF($BL102=マスタ!$C$7, 0.8,
               IF($BL102=マスタ!$C$5, 0.8,
                  IF($BL102=マスタ!$C$8, 0.8, "無効な入力")))))))</f>
        <v/>
      </c>
      <c r="BQ102" s="75"/>
      <c r="BR102" s="75"/>
      <c r="BS102" s="75"/>
      <c r="BT102" s="75"/>
      <c r="BU102" s="75"/>
      <c r="BV102" s="75"/>
      <c r="BW102" s="75"/>
      <c r="BX102" s="75"/>
      <c r="BY102" s="75"/>
    </row>
    <row r="103" spans="3:77" ht="30.75" customHeight="1">
      <c r="C103" s="69" t="str" cm="1">
        <f t="array" aca="1" ref="C103" ca="1">IF(SUMPRODUCT(--($D103:$AU103 &lt;&gt; "")),RIGHT(YEAR(TODAY()),2)&amp;"01"&amp;REPT("0",4-LEN(ROW()-11))&amp;ROW()-11,"")</f>
        <v/>
      </c>
      <c r="D103" s="141"/>
      <c r="E103" s="142"/>
      <c r="F103" s="71"/>
      <c r="G103" s="66"/>
      <c r="H103" s="41" t="str">
        <f>IFERROR(VLOOKUP(G103,マスタ!$D$3:$E$55,2,FALSE),"")</f>
        <v/>
      </c>
      <c r="I103" s="93"/>
      <c r="J103" s="77"/>
      <c r="K103" s="66"/>
      <c r="L103" s="103"/>
      <c r="M103" s="71"/>
      <c r="N103" s="101" t="str">
        <f>IF($M103 = $BM$9, $BM$9,
        IF($L103 = "", "",
              IF(OR(
                          AND(OR($G103 = マスタ!$D$54, $G103 = マスタ!$D$55), $L103 &lt;= $BP$9),
                          AND($G103 &lt;&gt; マスタ!$D$54, $G103 &lt;&gt; マスタ!$D$55, $L103 &lt;= $BQ$9)
                         ), $BM$9, $BN$9)))</f>
        <v/>
      </c>
      <c r="O103" s="71"/>
      <c r="P103" s="101" t="str">
        <f t="shared" si="31"/>
        <v/>
      </c>
      <c r="Q103" s="124"/>
      <c r="R103" s="124"/>
      <c r="S103" s="112" t="str">
        <f t="shared" si="19"/>
        <v/>
      </c>
      <c r="T103" s="71"/>
      <c r="U103" s="41" t="str">
        <f>IF($T103=$BM$9, $BM$9,
        IF($S103="", "",
             IF(OR(AND($BL103=マスタ!$C$3, $S103&lt;=$BS$9),
                        AND($BL103=マスタ!$C$4, $S103&lt;=$BT$9),
                        AND(OR($BL103=マスタ!$C$6, $BL103=マスタ!$C$7), $S103&lt;=$BU$9),
                        AND(OR($BL103=マスタ!$C$5, $BL103=マスタ!$C$8), $S103&lt;=$BV$9)),
                  $BM$9, $BN$9)))</f>
        <v/>
      </c>
      <c r="V103" s="129" t="str">
        <f t="shared" si="16"/>
        <v/>
      </c>
      <c r="W103" s="124"/>
      <c r="X103" s="112" t="str">
        <f t="shared" si="20"/>
        <v/>
      </c>
      <c r="Y103" s="71"/>
      <c r="Z103" s="41" t="str">
        <f>IF($Y103=$BM$9, $BM$9,
        IF(AND($T103 = $BM$9, $Y103 = $BO$9), $BN$9,
             IF($BL103=マスタ!$C$3,
                  IF($X103&lt;=$BW$9, $BM$9,$BN$9),
                       IF(OR($BL103=マスタ!$C$4, $BL103=マスタ!$C$5, $BL103=マスタ!$C$6, $BL103=マスタ!$C$7, $BL103=マスタ!$C$8),
                            IF($X103&lt;=$BX$9, $BM$9,$BN$9), ""))))</f>
        <v/>
      </c>
      <c r="AA103" s="71"/>
      <c r="AB103" s="71"/>
      <c r="AC103" s="71"/>
      <c r="AD103" s="165"/>
      <c r="AE103" s="71"/>
      <c r="AF103" s="165"/>
      <c r="AG103" s="92"/>
      <c r="AH103" s="92"/>
      <c r="AI103" s="92"/>
      <c r="AJ103" s="92"/>
      <c r="AK103" s="121"/>
      <c r="AL103" s="121"/>
      <c r="AM103" s="121"/>
      <c r="AN103" s="121"/>
      <c r="AO103" s="92"/>
      <c r="AP103" s="130" t="str">
        <f t="shared" si="5"/>
        <v/>
      </c>
      <c r="AQ103" s="121"/>
      <c r="AR103" s="101" t="str">
        <f>IF(OR(SUMPRODUCT(--(AJ103:AQ103&lt;&gt;""))&lt;7,AND($AJ103=マスタ!$N$3,$AK103="")), "",
        IF($AJ103=マスタ!$N$5, $BO$9,
              IF(OR($F103=マスタ!$C$3, $F103=マスタ!$C$4, $F103=マスタ!$C$5),
                    IF(SUM($AL103,$AM103,$AP103,$AQ103)&gt;=1, $BM$9, $BN$9),
              IF(OR($F103=マスタ!$C$6, $F103=マスタ!$C$7, $F103=マスタ!$C$8),
                    IF($AK103&lt;10, $BO$9,
                          IF(AND(SUM($AL103,$AM103,$AP103,$AQ103)&gt;=($AK103*0.2), $AM103+$AP103+$AQ103&gt;=1),
                               $BM$9,$BN$9))))))</f>
        <v/>
      </c>
      <c r="AS103" s="101" t="str">
        <f>IF(OR(SUMPRODUCT(--(AJ103:AQ103&lt;&gt;""))&lt;7,AND($AJ103=マスタ!$N$3,$AK103="")), "",
     IF($AR103=$BN$9,$BN$9,
        IF($AJ103=マスタ!$N$5, $BO$9,
             IF(OR($F103=マスタ!$C$3, $F103=マスタ!$C$4, $F103=マスタ!$C$5),
                   IF($AQ103&gt;=1, $BM$9, $BN$9),
             IF(OR($F103=マスタ!$C$6, $F103=マスタ!$C$7, $F103=マスタ!$C$8),
                   IF($AK103&lt;5, IF($AQ103&gt;=1, $BM$9, $BN$9),
                         IF(OR($AQ103&gt;=1,
                                    AND(SUM($AL103,$AM103,$AP103,$AQ103)&gt;=$AK103*0.5, ($AM103+$AP103+$AQ103)&gt;=($AK103*0.2))),
                              $BM$9,$BN$9)))))))</f>
        <v/>
      </c>
      <c r="AT103" s="66"/>
      <c r="AU103" s="143"/>
      <c r="AV103" s="98" t="str" cm="1">
        <f t="array" aca="1" ref="AV103" ca="1">IF(AND($F103:$G103&lt;&gt;"", $I103:$K103&lt;&gt;"",
                 IF(OR($M103=$BM$9,$O103=$BM$9), TRUE, $L103&lt;&gt;""),
                 $M103&lt;&gt;"",$O103&lt;&gt;"",
                 IF($T103=$BM$9, TRUE, $Q103:$R103&lt;&gt;""),
                 IF(AND($BL103&lt;&gt;"", $BL103&lt;&gt;マスタ!$C$5, $BL103&lt;&gt;マスタ!$C$8), TRUE, $T103&lt;&gt;""),
                 IF(OR(AND($T103=$BM$9,  $Y103=$BO$9), $Y103=$BM$9), TRUE,$W103&lt;&gt;""),
                 IF(AND($BL103&lt;&gt;"", $BL103&lt;&gt;マスタ!$C$5, $BL103&lt;&gt;マスタ!$C$8), TRUE, $Y103&lt;&gt;""),
                 $AA103&lt;&gt;"",
                 IF($AA103=マスタ!$F$4, TRUE, $AB103&lt;&gt;""),
                 $AG103:$AO103&lt;&gt;"", $AQ103&lt;&gt;"", $AT103&lt;&gt;""),
        "（正常）入力済み", IF($C103= "", "（複数入力）未入力", "（エラー）一部未入力"))</f>
        <v>（複数入力）未入力</v>
      </c>
      <c r="AW103" s="98" t="str">
        <f t="shared" ca="1" si="6"/>
        <v/>
      </c>
      <c r="AX103" s="98" t="str">
        <f t="shared" ca="1" si="32"/>
        <v/>
      </c>
      <c r="AY103" s="98" t="str">
        <f t="shared" ca="1" si="33"/>
        <v/>
      </c>
      <c r="AZ103" s="98" t="str">
        <f t="shared" ca="1" si="34"/>
        <v/>
      </c>
      <c r="BA103" s="98" t="str">
        <f t="shared" ca="1" si="35"/>
        <v/>
      </c>
      <c r="BB103" s="98" t="str">
        <f t="shared" ca="1" si="36"/>
        <v/>
      </c>
      <c r="BC103" s="98" t="str">
        <f t="shared" ca="1" si="37"/>
        <v/>
      </c>
      <c r="BD103" s="98" t="str">
        <f t="shared" ca="1" si="38"/>
        <v/>
      </c>
      <c r="BE103" s="98" t="str">
        <f>IF($BL103="","",
   IF($T103=入力不可用2,
      IF(OR($BL103=マスタ!$C$5,$BL103=マスタ!$C$8), "未入力", "（正常）規定値"),
      IF(OR($BL103=マスタ!$C$5,$BL103=マスタ!$C$8), "（正常）規定値", "（エラー）値入力不可")))</f>
        <v/>
      </c>
      <c r="BF103" s="98" t="str">
        <f ca="1">IF($C103 = "", "",
       IF(AND(OR($BL103=マスタ!$C$5, $BL103=マスタ!$C$8), $T103 = ""), "未入力",
            IF(AND($Y103 = $BM$9, $T103 = $BO$9), "（エラー）「適合」のみ入力可", "（正常）規定値")))</f>
        <v/>
      </c>
      <c r="BG103" s="98" t="str">
        <f t="shared" ca="1" si="39"/>
        <v/>
      </c>
      <c r="BH103" s="98" t="str">
        <f t="shared" ca="1" si="40"/>
        <v/>
      </c>
      <c r="BI103" s="98" t="str">
        <f>IF($BL103="","",
   IF($Y103=入力不可用2,
      IF(OR($BL103=マスタ!$C$5,$BL103=マスタ!$C$8), "未入力", "（正常）規定値"),
      IF(OR($BL103=マスタ!$C$5,$BL103=マスタ!$C$8), "（正常）規定値", "（エラー）値入力不可")))</f>
        <v/>
      </c>
      <c r="BJ103" s="98" t="str">
        <f>IF($AA103="", "",
        IF($AA103=マスタ!$F$3,
             IF($AB103="", "未入力", "（正常）規定値"),
                  IF($AA103=マスタ!$F$4,
                       IF($AB103&lt;&gt;入力不可用2, "（エラー）値入力不可", "（正常）規定値"))))</f>
        <v/>
      </c>
      <c r="BL103" s="75" t="str">
        <f>IF(OR($F103 = マスタ!$C$5, F103 = マスタ!$C$8), $F103,
        IF(AND($F103 = マスタ!$C$3, 'その１事業者基本情報_入力シート（一部非公開）'!$U$16), $F103,
             IF(AND($F103 = マスタ!$C$4, 'その１事業者基本情報_入力シート（一部非公開）'!$S$16), $F103,
                  IF(AND(OR($F103 = マスタ!$C$6, $F103 = マスタ!$C$7),
                                'その１事業者基本情報_入力シート（一部非公開）'!$W$16), $F103,
                       IF(OR($F103 = マスタ!$C$3, $F103=マスタ!$C$4), マスタ!$C$5,
                            IF(OR($F103 = マスタ!$C$6, $F103 = マスタ!$C$7), マスタ!$C$8, ""))))))</f>
        <v/>
      </c>
      <c r="BM103" s="75" t="str">
        <f>IF($L103&lt;&gt;"", $L103,
       IF($M103 = マスタ!$B$3,
          IF(OR($F103=マスタ!$C$3,$F103=マスタ!$C$4,$F103=マスタ!$C$5),
            IF(OR($G103 = マスタ!$D$54, $G103 = マスタ!$D$55), 0.75, 0.87),
            IF(OR($G103 = マスタ!$D$54, $G103 = マスタ!$D$55), 0.62, 0.72)),
                 IF(ISBLANK($L103), "", $L103)))</f>
        <v/>
      </c>
      <c r="BN103" s="99" t="str">
        <f>IF($L103&lt;&gt;"", $L103,
        IF($O103 = マスタ!$B$3,
          IF(OR($F103=マスタ!$C$3,$F103=マスタ!$C$4,$F103=マスタ!$C$5), 0.6, 0.5),
             IF(ISBLANK($L103), "", $L103)))</f>
        <v/>
      </c>
      <c r="BO103" s="99" t="str">
        <f>IF($T103&lt;&gt;マスタ!$B$3,
        IF(ISBLANK($S103),"",$S103),
             IF($BL103=マスタ!$C$3,0.8,
             IF($BL103=マスタ!$C$4,0.85,
             IF($BL103=マスタ!$C$6,0.9,
             IF($BL103=マスタ!$C$7,0.9,
             IF($BL103=マスタ!$C$5,1,
             IF($BL103=マスタ!$C$8,1,"無効な入力")))))))</f>
        <v/>
      </c>
      <c r="BP103" s="99" t="str">
        <f>IF($Y103&lt;&gt;マスタ!$B$3,
   IF(ISBLANK($X103), "", $X103),
   IF($BL103=マスタ!$C$3, 0.75,
      IF($BL103=マスタ!$C$4, 0.8,
         IF($BL103=マスタ!$C$6, 0.8,
            IF($BL103=マスタ!$C$7, 0.8,
               IF($BL103=マスタ!$C$5, 0.8,
                  IF($BL103=マスタ!$C$8, 0.8, "無効な入力")))))))</f>
        <v/>
      </c>
      <c r="BQ103" s="75"/>
      <c r="BR103" s="75"/>
      <c r="BS103" s="75"/>
      <c r="BT103" s="75"/>
      <c r="BU103" s="75"/>
      <c r="BV103" s="75"/>
      <c r="BW103" s="75"/>
      <c r="BX103" s="75"/>
      <c r="BY103" s="75"/>
    </row>
    <row r="104" spans="3:77" ht="30.75" customHeight="1">
      <c r="C104" s="69" t="str" cm="1">
        <f t="array" aca="1" ref="C104" ca="1">IF(SUMPRODUCT(--($D104:$AU104 &lt;&gt; "")),RIGHT(YEAR(TODAY()),2)&amp;"01"&amp;REPT("0",4-LEN(ROW()-11))&amp;ROW()-11,"")</f>
        <v/>
      </c>
      <c r="D104" s="141"/>
      <c r="E104" s="142"/>
      <c r="F104" s="71"/>
      <c r="G104" s="66"/>
      <c r="H104" s="41" t="str">
        <f>IFERROR(VLOOKUP(G104,マスタ!$D$3:$E$55,2,FALSE),"")</f>
        <v/>
      </c>
      <c r="I104" s="93"/>
      <c r="J104" s="77"/>
      <c r="K104" s="66"/>
      <c r="L104" s="103"/>
      <c r="M104" s="71"/>
      <c r="N104" s="101" t="str">
        <f>IF($M104 = $BM$9, $BM$9,
        IF($L104 = "", "",
              IF(OR(
                          AND(OR($G104 = マスタ!$D$54, $G104 = マスタ!$D$55), $L104 &lt;= $BP$9),
                          AND($G104 &lt;&gt; マスタ!$D$54, $G104 &lt;&gt; マスタ!$D$55, $L104 &lt;= $BQ$9)
                         ), $BM$9, $BN$9)))</f>
        <v/>
      </c>
      <c r="O104" s="71"/>
      <c r="P104" s="101" t="str">
        <f t="shared" si="31"/>
        <v/>
      </c>
      <c r="Q104" s="124"/>
      <c r="R104" s="124"/>
      <c r="S104" s="112" t="str">
        <f t="shared" si="19"/>
        <v/>
      </c>
      <c r="T104" s="71"/>
      <c r="U104" s="41" t="str">
        <f>IF($T104=$BM$9, $BM$9,
        IF($S104="", "",
             IF(OR(AND($BL104=マスタ!$C$3, $S104&lt;=$BS$9),
                        AND($BL104=マスタ!$C$4, $S104&lt;=$BT$9),
                        AND(OR($BL104=マスタ!$C$6, $BL104=マスタ!$C$7), $S104&lt;=$BU$9),
                        AND(OR($BL104=マスタ!$C$5, $BL104=マスタ!$C$8), $S104&lt;=$BV$9)),
                  $BM$9, $BN$9)))</f>
        <v/>
      </c>
      <c r="V104" s="129" t="str">
        <f t="shared" si="16"/>
        <v/>
      </c>
      <c r="W104" s="124"/>
      <c r="X104" s="112" t="str">
        <f t="shared" si="20"/>
        <v/>
      </c>
      <c r="Y104" s="71"/>
      <c r="Z104" s="41" t="str">
        <f>IF($Y104=$BM$9, $BM$9,
        IF(AND($T104 = $BM$9, $Y104 = $BO$9), $BN$9,
             IF($BL104=マスタ!$C$3,
                  IF($X104&lt;=$BW$9, $BM$9,$BN$9),
                       IF(OR($BL104=マスタ!$C$4, $BL104=マスタ!$C$5, $BL104=マスタ!$C$6, $BL104=マスタ!$C$7, $BL104=マスタ!$C$8),
                            IF($X104&lt;=$BX$9, $BM$9,$BN$9), ""))))</f>
        <v/>
      </c>
      <c r="AA104" s="71"/>
      <c r="AB104" s="71"/>
      <c r="AC104" s="71"/>
      <c r="AD104" s="165"/>
      <c r="AE104" s="71"/>
      <c r="AF104" s="165"/>
      <c r="AG104" s="92"/>
      <c r="AH104" s="92"/>
      <c r="AI104" s="92"/>
      <c r="AJ104" s="92"/>
      <c r="AK104" s="121"/>
      <c r="AL104" s="121"/>
      <c r="AM104" s="121"/>
      <c r="AN104" s="121"/>
      <c r="AO104" s="92"/>
      <c r="AP104" s="130" t="str">
        <f t="shared" si="5"/>
        <v/>
      </c>
      <c r="AQ104" s="121"/>
      <c r="AR104" s="101" t="str">
        <f>IF(OR(SUMPRODUCT(--(AJ104:AQ104&lt;&gt;""))&lt;7,AND($AJ104=マスタ!$N$3,$AK104="")), "",
        IF($AJ104=マスタ!$N$5, $BO$9,
              IF(OR($F104=マスタ!$C$3, $F104=マスタ!$C$4, $F104=マスタ!$C$5),
                    IF(SUM($AL104,$AM104,$AP104,$AQ104)&gt;=1, $BM$9, $BN$9),
              IF(OR($F104=マスタ!$C$6, $F104=マスタ!$C$7, $F104=マスタ!$C$8),
                    IF($AK104&lt;10, $BO$9,
                          IF(AND(SUM($AL104,$AM104,$AP104,$AQ104)&gt;=($AK104*0.2), $AM104+$AP104+$AQ104&gt;=1),
                               $BM$9,$BN$9))))))</f>
        <v/>
      </c>
      <c r="AS104" s="101" t="str">
        <f>IF(OR(SUMPRODUCT(--(AJ104:AQ104&lt;&gt;""))&lt;7,AND($AJ104=マスタ!$N$3,$AK104="")), "",
     IF($AR104=$BN$9,$BN$9,
        IF($AJ104=マスタ!$N$5, $BO$9,
             IF(OR($F104=マスタ!$C$3, $F104=マスタ!$C$4, $F104=マスタ!$C$5),
                   IF($AQ104&gt;=1, $BM$9, $BN$9),
             IF(OR($F104=マスタ!$C$6, $F104=マスタ!$C$7, $F104=マスタ!$C$8),
                   IF($AK104&lt;5, IF($AQ104&gt;=1, $BM$9, $BN$9),
                         IF(OR($AQ104&gt;=1,
                                    AND(SUM($AL104,$AM104,$AP104,$AQ104)&gt;=$AK104*0.5, ($AM104+$AP104+$AQ104)&gt;=($AK104*0.2))),
                              $BM$9,$BN$9)))))))</f>
        <v/>
      </c>
      <c r="AT104" s="66"/>
      <c r="AU104" s="143"/>
      <c r="AV104" s="98" t="str" cm="1">
        <f t="array" aca="1" ref="AV104" ca="1">IF(AND($F104:$G104&lt;&gt;"", $I104:$K104&lt;&gt;"",
                 IF(OR($M104=$BM$9,$O104=$BM$9), TRUE, $L104&lt;&gt;""),
                 $M104&lt;&gt;"",$O104&lt;&gt;"",
                 IF($T104=$BM$9, TRUE, $Q104:$R104&lt;&gt;""),
                 IF(AND($BL104&lt;&gt;"", $BL104&lt;&gt;マスタ!$C$5, $BL104&lt;&gt;マスタ!$C$8), TRUE, $T104&lt;&gt;""),
                 IF(OR(AND($T104=$BM$9,  $Y104=$BO$9), $Y104=$BM$9), TRUE,$W104&lt;&gt;""),
                 IF(AND($BL104&lt;&gt;"", $BL104&lt;&gt;マスタ!$C$5, $BL104&lt;&gt;マスタ!$C$8), TRUE, $Y104&lt;&gt;""),
                 $AA104&lt;&gt;"",
                 IF($AA104=マスタ!$F$4, TRUE, $AB104&lt;&gt;""),
                 $AG104:$AO104&lt;&gt;"", $AQ104&lt;&gt;"", $AT104&lt;&gt;""),
        "（正常）入力済み", IF($C104= "", "（複数入力）未入力", "（エラー）一部未入力"))</f>
        <v>（複数入力）未入力</v>
      </c>
      <c r="AW104" s="98" t="str">
        <f t="shared" ca="1" si="6"/>
        <v/>
      </c>
      <c r="AX104" s="98" t="str">
        <f t="shared" ca="1" si="32"/>
        <v/>
      </c>
      <c r="AY104" s="98" t="str">
        <f t="shared" ca="1" si="33"/>
        <v/>
      </c>
      <c r="AZ104" s="98" t="str">
        <f t="shared" ca="1" si="34"/>
        <v/>
      </c>
      <c r="BA104" s="98" t="str">
        <f t="shared" ca="1" si="35"/>
        <v/>
      </c>
      <c r="BB104" s="98" t="str">
        <f t="shared" ca="1" si="36"/>
        <v/>
      </c>
      <c r="BC104" s="98" t="str">
        <f t="shared" ca="1" si="37"/>
        <v/>
      </c>
      <c r="BD104" s="98" t="str">
        <f t="shared" ca="1" si="38"/>
        <v/>
      </c>
      <c r="BE104" s="98" t="str">
        <f>IF($BL104="","",
   IF($T104=入力不可用2,
      IF(OR($BL104=マスタ!$C$5,$BL104=マスタ!$C$8), "未入力", "（正常）規定値"),
      IF(OR($BL104=マスタ!$C$5,$BL104=マスタ!$C$8), "（正常）規定値", "（エラー）値入力不可")))</f>
        <v/>
      </c>
      <c r="BF104" s="98" t="str">
        <f ca="1">IF($C104 = "", "",
       IF(AND(OR($BL104=マスタ!$C$5, $BL104=マスタ!$C$8), $T104 = ""), "未入力",
            IF(AND($Y104 = $BM$9, $T104 = $BO$9), "（エラー）「適合」のみ入力可", "（正常）規定値")))</f>
        <v/>
      </c>
      <c r="BG104" s="98" t="str">
        <f t="shared" ca="1" si="39"/>
        <v/>
      </c>
      <c r="BH104" s="98" t="str">
        <f t="shared" ca="1" si="40"/>
        <v/>
      </c>
      <c r="BI104" s="98" t="str">
        <f>IF($BL104="","",
   IF($Y104=入力不可用2,
      IF(OR($BL104=マスタ!$C$5,$BL104=マスタ!$C$8), "未入力", "（正常）規定値"),
      IF(OR($BL104=マスタ!$C$5,$BL104=マスタ!$C$8), "（正常）規定値", "（エラー）値入力不可")))</f>
        <v/>
      </c>
      <c r="BJ104" s="98" t="str">
        <f>IF($AA104="", "",
        IF($AA104=マスタ!$F$3,
             IF($AB104="", "未入力", "（正常）規定値"),
                  IF($AA104=マスタ!$F$4,
                       IF($AB104&lt;&gt;入力不可用2, "（エラー）値入力不可", "（正常）規定値"))))</f>
        <v/>
      </c>
      <c r="BL104" s="75" t="str">
        <f>IF(OR($F104 = マスタ!$C$5, F104 = マスタ!$C$8), $F104,
        IF(AND($F104 = マスタ!$C$3, 'その１事業者基本情報_入力シート（一部非公開）'!$U$16), $F104,
             IF(AND($F104 = マスタ!$C$4, 'その１事業者基本情報_入力シート（一部非公開）'!$S$16), $F104,
                  IF(AND(OR($F104 = マスタ!$C$6, $F104 = マスタ!$C$7),
                                'その１事業者基本情報_入力シート（一部非公開）'!$W$16), $F104,
                       IF(OR($F104 = マスタ!$C$3, $F104=マスタ!$C$4), マスタ!$C$5,
                            IF(OR($F104 = マスタ!$C$6, $F104 = マスタ!$C$7), マスタ!$C$8, ""))))))</f>
        <v/>
      </c>
      <c r="BM104" s="75" t="str">
        <f>IF($L104&lt;&gt;"", $L104,
       IF($M104 = マスタ!$B$3,
          IF(OR($F104=マスタ!$C$3,$F104=マスタ!$C$4,$F104=マスタ!$C$5),
            IF(OR($G104 = マスタ!$D$54, $G104 = マスタ!$D$55), 0.75, 0.87),
            IF(OR($G104 = マスタ!$D$54, $G104 = マスタ!$D$55), 0.62, 0.72)),
                 IF(ISBLANK($L104), "", $L104)))</f>
        <v/>
      </c>
      <c r="BN104" s="99" t="str">
        <f>IF($L104&lt;&gt;"", $L104,
        IF($O104 = マスタ!$B$3,
          IF(OR($F104=マスタ!$C$3,$F104=マスタ!$C$4,$F104=マスタ!$C$5), 0.6, 0.5),
             IF(ISBLANK($L104), "", $L104)))</f>
        <v/>
      </c>
      <c r="BO104" s="99" t="str">
        <f>IF($T104&lt;&gt;マスタ!$B$3,
        IF(ISBLANK($S104),"",$S104),
             IF($BL104=マスタ!$C$3,0.8,
             IF($BL104=マスタ!$C$4,0.85,
             IF($BL104=マスタ!$C$6,0.9,
             IF($BL104=マスタ!$C$7,0.9,
             IF($BL104=マスタ!$C$5,1,
             IF($BL104=マスタ!$C$8,1,"無効な入力")))))))</f>
        <v/>
      </c>
      <c r="BP104" s="99" t="str">
        <f>IF($Y104&lt;&gt;マスタ!$B$3,
   IF(ISBLANK($X104), "", $X104),
   IF($BL104=マスタ!$C$3, 0.75,
      IF($BL104=マスタ!$C$4, 0.8,
         IF($BL104=マスタ!$C$6, 0.8,
            IF($BL104=マスタ!$C$7, 0.8,
               IF($BL104=マスタ!$C$5, 0.8,
                  IF($BL104=マスタ!$C$8, 0.8, "無効な入力")))))))</f>
        <v/>
      </c>
      <c r="BQ104" s="75"/>
      <c r="BR104" s="75"/>
      <c r="BS104" s="75"/>
      <c r="BT104" s="75"/>
      <c r="BU104" s="75"/>
      <c r="BV104" s="75"/>
      <c r="BW104" s="75"/>
      <c r="BX104" s="75"/>
      <c r="BY104" s="75"/>
    </row>
    <row r="105" spans="3:77" ht="30.75" customHeight="1">
      <c r="C105" s="69" t="str" cm="1">
        <f t="array" aca="1" ref="C105" ca="1">IF(SUMPRODUCT(--($D105:$AU105 &lt;&gt; "")),RIGHT(YEAR(TODAY()),2)&amp;"01"&amp;REPT("0",4-LEN(ROW()-11))&amp;ROW()-11,"")</f>
        <v/>
      </c>
      <c r="D105" s="141"/>
      <c r="E105" s="142"/>
      <c r="F105" s="71"/>
      <c r="G105" s="66"/>
      <c r="H105" s="41" t="str">
        <f>IFERROR(VLOOKUP(G105,マスタ!$D$3:$E$55,2,FALSE),"")</f>
        <v/>
      </c>
      <c r="I105" s="93"/>
      <c r="J105" s="77"/>
      <c r="K105" s="66"/>
      <c r="L105" s="103"/>
      <c r="M105" s="71"/>
      <c r="N105" s="101" t="str">
        <f>IF($M105 = $BM$9, $BM$9,
        IF($L105 = "", "",
              IF(OR(
                          AND(OR($G105 = マスタ!$D$54, $G105 = マスタ!$D$55), $L105 &lt;= $BP$9),
                          AND($G105 &lt;&gt; マスタ!$D$54, $G105 &lt;&gt; マスタ!$D$55, $L105 &lt;= $BQ$9)
                         ), $BM$9, $BN$9)))</f>
        <v/>
      </c>
      <c r="O105" s="71"/>
      <c r="P105" s="101" t="str">
        <f t="shared" si="31"/>
        <v/>
      </c>
      <c r="Q105" s="124"/>
      <c r="R105" s="124"/>
      <c r="S105" s="112" t="str">
        <f t="shared" ref="S105:S112" si="41">IF(AND($Q105&lt;&gt;"",$Q105&lt;&gt;0, R105&lt;&gt;""), ROUNDUP(R105/Q105, 2), "")</f>
        <v/>
      </c>
      <c r="T105" s="71"/>
      <c r="U105" s="41" t="str">
        <f>IF($T105=$BM$9, $BM$9,
        IF($S105="", "",
             IF(OR(AND($BL105=マスタ!$C$3, $S105&lt;=$BS$9),
                        AND($BL105=マスタ!$C$4, $S105&lt;=$BT$9),
                        AND(OR($BL105=マスタ!$C$6, $BL105=マスタ!$C$7), $S105&lt;=$BU$9),
                        AND(OR($BL105=マスタ!$C$5, $BL105=マスタ!$C$8), $S105&lt;=$BV$9)),
                  $BM$9, $BN$9)))</f>
        <v/>
      </c>
      <c r="V105" s="129" t="str">
        <f t="shared" si="16"/>
        <v/>
      </c>
      <c r="W105" s="124"/>
      <c r="X105" s="112" t="str">
        <f t="shared" ref="X105:X112" si="42">IF(AND($W105&lt;&gt;"",$V105&lt;&gt;0, V105&lt;&gt;""), ROUNDUP(W105/V105,2), "")</f>
        <v/>
      </c>
      <c r="Y105" s="71"/>
      <c r="Z105" s="41" t="str">
        <f>IF($Y105=$BM$9, $BM$9,
        IF(AND($T105 = $BM$9, $Y105 = $BO$9), $BN$9,
             IF($BL105=マスタ!$C$3,
                  IF($X105&lt;=$BW$9, $BM$9,$BN$9),
                       IF(OR($BL105=マスタ!$C$4, $BL105=マスタ!$C$5, $BL105=マスタ!$C$6, $BL105=マスタ!$C$7, $BL105=マスタ!$C$8),
                            IF($X105&lt;=$BX$9, $BM$9,$BN$9), ""))))</f>
        <v/>
      </c>
      <c r="AA105" s="71"/>
      <c r="AB105" s="71"/>
      <c r="AC105" s="71"/>
      <c r="AD105" s="165"/>
      <c r="AE105" s="71"/>
      <c r="AF105" s="165"/>
      <c r="AG105" s="92"/>
      <c r="AH105" s="92"/>
      <c r="AI105" s="92"/>
      <c r="AJ105" s="92"/>
      <c r="AK105" s="121"/>
      <c r="AL105" s="121"/>
      <c r="AM105" s="121"/>
      <c r="AN105" s="121"/>
      <c r="AO105" s="92"/>
      <c r="AP105" s="130" t="str">
        <f t="shared" si="5"/>
        <v/>
      </c>
      <c r="AQ105" s="121"/>
      <c r="AR105" s="101" t="str">
        <f>IF(OR(SUMPRODUCT(--(AJ105:AQ105&lt;&gt;""))&lt;7,AND($AJ105=マスタ!$N$3,$AK105="")), "",
        IF($AJ105=マスタ!$N$5, $BO$9,
              IF(OR($F105=マスタ!$C$3, $F105=マスタ!$C$4, $F105=マスタ!$C$5),
                    IF(SUM($AL105,$AM105,$AP105,$AQ105)&gt;=1, $BM$9, $BN$9),
              IF(OR($F105=マスタ!$C$6, $F105=マスタ!$C$7, $F105=マスタ!$C$8),
                    IF($AK105&lt;10, $BO$9,
                          IF(AND(SUM($AL105,$AM105,$AP105,$AQ105)&gt;=($AK105*0.2), $AM105+$AP105+$AQ105&gt;=1),
                               $BM$9,$BN$9))))))</f>
        <v/>
      </c>
      <c r="AS105" s="101" t="str">
        <f>IF(OR(SUMPRODUCT(--(AJ105:AQ105&lt;&gt;""))&lt;7,AND($AJ105=マスタ!$N$3,$AK105="")), "",
     IF($AR105=$BN$9,$BN$9,
        IF($AJ105=マスタ!$N$5, $BO$9,
             IF(OR($F105=マスタ!$C$3, $F105=マスタ!$C$4, $F105=マスタ!$C$5),
                   IF($AQ105&gt;=1, $BM$9, $BN$9),
             IF(OR($F105=マスタ!$C$6, $F105=マスタ!$C$7, $F105=マスタ!$C$8),
                   IF($AK105&lt;5, IF($AQ105&gt;=1, $BM$9, $BN$9),
                         IF(OR($AQ105&gt;=1,
                                    AND(SUM($AL105,$AM105,$AP105,$AQ105)&gt;=$AK105*0.5, ($AM105+$AP105+$AQ105)&gt;=($AK105*0.2))),
                              $BM$9,$BN$9)))))))</f>
        <v/>
      </c>
      <c r="AT105" s="66"/>
      <c r="AU105" s="143"/>
      <c r="AV105" s="98" t="str" cm="1">
        <f t="array" aca="1" ref="AV105" ca="1">IF(AND($F105:$G105&lt;&gt;"", $I105:$K105&lt;&gt;"",
                 IF(OR($M105=$BM$9,$O105=$BM$9), TRUE, $L105&lt;&gt;""),
                 $M105&lt;&gt;"",$O105&lt;&gt;"",
                 IF($T105=$BM$9, TRUE, $Q105:$R105&lt;&gt;""),
                 IF(AND($BL105&lt;&gt;"", $BL105&lt;&gt;マスタ!$C$5, $BL105&lt;&gt;マスタ!$C$8), TRUE, $T105&lt;&gt;""),
                 IF(OR(AND($T105=$BM$9,  $Y105=$BO$9), $Y105=$BM$9), TRUE,$W105&lt;&gt;""),
                 IF(AND($BL105&lt;&gt;"", $BL105&lt;&gt;マスタ!$C$5, $BL105&lt;&gt;マスタ!$C$8), TRUE, $Y105&lt;&gt;""),
                 $AA105&lt;&gt;"",
                 IF($AA105=マスタ!$F$4, TRUE, $AB105&lt;&gt;""),
                 $AG105:$AO105&lt;&gt;"", $AQ105&lt;&gt;"", $AT105&lt;&gt;""),
        "（正常）入力済み", IF($C105= "", "（複数入力）未入力", "（エラー）一部未入力"))</f>
        <v>（複数入力）未入力</v>
      </c>
      <c r="AW105" s="98" t="str">
        <f t="shared" ca="1" si="6"/>
        <v/>
      </c>
      <c r="AX105" s="98" t="str">
        <f t="shared" ca="1" si="32"/>
        <v/>
      </c>
      <c r="AY105" s="98" t="str">
        <f t="shared" ca="1" si="33"/>
        <v/>
      </c>
      <c r="AZ105" s="98" t="str">
        <f t="shared" ca="1" si="34"/>
        <v/>
      </c>
      <c r="BA105" s="98" t="str">
        <f t="shared" ca="1" si="35"/>
        <v/>
      </c>
      <c r="BB105" s="98" t="str">
        <f t="shared" ca="1" si="36"/>
        <v/>
      </c>
      <c r="BC105" s="98" t="str">
        <f t="shared" ca="1" si="37"/>
        <v/>
      </c>
      <c r="BD105" s="98" t="str">
        <f t="shared" ca="1" si="38"/>
        <v/>
      </c>
      <c r="BE105" s="98" t="str">
        <f>IF($BL105="","",
   IF($T105=入力不可用2,
      IF(OR($BL105=マスタ!$C$5,$BL105=マスタ!$C$8), "未入力", "（正常）規定値"),
      IF(OR($BL105=マスタ!$C$5,$BL105=マスタ!$C$8), "（正常）規定値", "（エラー）値入力不可")))</f>
        <v/>
      </c>
      <c r="BF105" s="98" t="str">
        <f ca="1">IF($C105 = "", "",
       IF(AND(OR($BL105=マスタ!$C$5, $BL105=マスタ!$C$8), $T105 = ""), "未入力",
            IF(AND($Y105 = $BM$9, $T105 = $BO$9), "（エラー）「適合」のみ入力可", "（正常）規定値")))</f>
        <v/>
      </c>
      <c r="BG105" s="98" t="str">
        <f t="shared" ca="1" si="39"/>
        <v/>
      </c>
      <c r="BH105" s="98" t="str">
        <f t="shared" ca="1" si="40"/>
        <v/>
      </c>
      <c r="BI105" s="98" t="str">
        <f>IF($BL105="","",
   IF($Y105=入力不可用2,
      IF(OR($BL105=マスタ!$C$5,$BL105=マスタ!$C$8), "未入力", "（正常）規定値"),
      IF(OR($BL105=マスタ!$C$5,$BL105=マスタ!$C$8), "（正常）規定値", "（エラー）値入力不可")))</f>
        <v/>
      </c>
      <c r="BJ105" s="98" t="str">
        <f>IF($AA105="", "",
        IF($AA105=マスタ!$F$3,
             IF($AB105="", "未入力", "（正常）規定値"),
                  IF($AA105=マスタ!$F$4,
                       IF($AB105&lt;&gt;入力不可用2, "（エラー）値入力不可", "（正常）規定値"))))</f>
        <v/>
      </c>
      <c r="BL105" s="75" t="str">
        <f>IF(OR($F105 = マスタ!$C$5, F105 = マスタ!$C$8), $F105,
        IF(AND($F105 = マスタ!$C$3, 'その１事業者基本情報_入力シート（一部非公開）'!$U$16), $F105,
             IF(AND($F105 = マスタ!$C$4, 'その１事業者基本情報_入力シート（一部非公開）'!$S$16), $F105,
                  IF(AND(OR($F105 = マスタ!$C$6, $F105 = マスタ!$C$7),
                                'その１事業者基本情報_入力シート（一部非公開）'!$W$16), $F105,
                       IF(OR($F105 = マスタ!$C$3, $F105=マスタ!$C$4), マスタ!$C$5,
                            IF(OR($F105 = マスタ!$C$6, $F105 = マスタ!$C$7), マスタ!$C$8, ""))))))</f>
        <v/>
      </c>
      <c r="BM105" s="75" t="str">
        <f>IF($L105&lt;&gt;"", $L105,
       IF($M105 = マスタ!$B$3,
          IF(OR($F105=マスタ!$C$3,$F105=マスタ!$C$4,$F105=マスタ!$C$5),
            IF(OR($G105 = マスタ!$D$54, $G105 = マスタ!$D$55), 0.75, 0.87),
            IF(OR($G105 = マスタ!$D$54, $G105 = マスタ!$D$55), 0.62, 0.72)),
                 IF(ISBLANK($L105), "", $L105)))</f>
        <v/>
      </c>
      <c r="BN105" s="99" t="str">
        <f>IF($L105&lt;&gt;"", $L105,
        IF($O105 = マスタ!$B$3,
          IF(OR($F105=マスタ!$C$3,$F105=マスタ!$C$4,$F105=マスタ!$C$5), 0.6, 0.5),
             IF(ISBLANK($L105), "", $L105)))</f>
        <v/>
      </c>
      <c r="BO105" s="99" t="str">
        <f>IF($T105&lt;&gt;マスタ!$B$3,
        IF(ISBLANK($S105),"",$S105),
             IF($BL105=マスタ!$C$3,0.8,
             IF($BL105=マスタ!$C$4,0.85,
             IF($BL105=マスタ!$C$6,0.9,
             IF($BL105=マスタ!$C$7,0.9,
             IF($BL105=マスタ!$C$5,1,
             IF($BL105=マスタ!$C$8,1,"無効な入力")))))))</f>
        <v/>
      </c>
      <c r="BP105" s="99" t="str">
        <f>IF($Y105&lt;&gt;マスタ!$B$3,
   IF(ISBLANK($X105), "", $X105),
   IF($BL105=マスタ!$C$3, 0.75,
      IF($BL105=マスタ!$C$4, 0.8,
         IF($BL105=マスタ!$C$6, 0.8,
            IF($BL105=マスタ!$C$7, 0.8,
               IF($BL105=マスタ!$C$5, 0.8,
                  IF($BL105=マスタ!$C$8, 0.8, "無効な入力")))))))</f>
        <v/>
      </c>
      <c r="BQ105" s="75"/>
      <c r="BR105" s="75"/>
      <c r="BS105" s="75"/>
      <c r="BT105" s="75"/>
      <c r="BU105" s="75"/>
      <c r="BV105" s="75"/>
      <c r="BW105" s="75"/>
      <c r="BX105" s="75"/>
      <c r="BY105" s="75"/>
    </row>
    <row r="106" spans="3:77" ht="30.75" customHeight="1">
      <c r="C106" s="69" t="str" cm="1">
        <f t="array" aca="1" ref="C106" ca="1">IF(SUMPRODUCT(--($D106:$AU106 &lt;&gt; "")),RIGHT(YEAR(TODAY()),2)&amp;"01"&amp;REPT("0",4-LEN(ROW()-11))&amp;ROW()-11,"")</f>
        <v/>
      </c>
      <c r="D106" s="141"/>
      <c r="E106" s="142"/>
      <c r="F106" s="71"/>
      <c r="G106" s="66"/>
      <c r="H106" s="41" t="str">
        <f>IFERROR(VLOOKUP(G106,マスタ!$D$3:$E$55,2,FALSE),"")</f>
        <v/>
      </c>
      <c r="I106" s="93"/>
      <c r="J106" s="77"/>
      <c r="K106" s="66"/>
      <c r="L106" s="103"/>
      <c r="M106" s="71"/>
      <c r="N106" s="101" t="str">
        <f>IF($M106 = $BM$9, $BM$9,
        IF($L106 = "", "",
              IF(OR(
                          AND(OR($G106 = マスタ!$D$54, $G106 = マスタ!$D$55), $L106 &lt;= $BP$9),
                          AND($G106 &lt;&gt; マスタ!$D$54, $G106 &lt;&gt; マスタ!$D$55, $L106 &lt;= $BQ$9)
                         ), $BM$9, $BN$9)))</f>
        <v/>
      </c>
      <c r="O106" s="71"/>
      <c r="P106" s="101" t="str">
        <f t="shared" si="31"/>
        <v/>
      </c>
      <c r="Q106" s="124"/>
      <c r="R106" s="124"/>
      <c r="S106" s="112" t="str">
        <f t="shared" si="41"/>
        <v/>
      </c>
      <c r="T106" s="71"/>
      <c r="U106" s="41" t="str">
        <f>IF($T106=$BM$9, $BM$9,
        IF($S106="", "",
             IF(OR(AND($BL106=マスタ!$C$3, $S106&lt;=$BS$9),
                        AND($BL106=マスタ!$C$4, $S106&lt;=$BT$9),
                        AND(OR($BL106=マスタ!$C$6, $BL106=マスタ!$C$7), $S106&lt;=$BU$9),
                        AND(OR($BL106=マスタ!$C$5, $BL106=マスタ!$C$8), $S106&lt;=$BV$9)),
                  $BM$9, $BN$9)))</f>
        <v/>
      </c>
      <c r="V106" s="129" t="str">
        <f t="shared" si="16"/>
        <v/>
      </c>
      <c r="W106" s="124"/>
      <c r="X106" s="112" t="str">
        <f t="shared" si="42"/>
        <v/>
      </c>
      <c r="Y106" s="71"/>
      <c r="Z106" s="41" t="str">
        <f>IF($Y106=$BM$9, $BM$9,
        IF(AND($T106 = $BM$9, $Y106 = $BO$9), $BN$9,
             IF($BL106=マスタ!$C$3,
                  IF($X106&lt;=$BW$9, $BM$9,$BN$9),
                       IF(OR($BL106=マスタ!$C$4, $BL106=マスタ!$C$5, $BL106=マスタ!$C$6, $BL106=マスタ!$C$7, $BL106=マスタ!$C$8),
                            IF($X106&lt;=$BX$9, $BM$9,$BN$9), ""))))</f>
        <v/>
      </c>
      <c r="AA106" s="71"/>
      <c r="AB106" s="71"/>
      <c r="AC106" s="71"/>
      <c r="AD106" s="165"/>
      <c r="AE106" s="71"/>
      <c r="AF106" s="165"/>
      <c r="AG106" s="92"/>
      <c r="AH106" s="92"/>
      <c r="AI106" s="92"/>
      <c r="AJ106" s="92"/>
      <c r="AK106" s="121"/>
      <c r="AL106" s="121"/>
      <c r="AM106" s="121"/>
      <c r="AN106" s="121"/>
      <c r="AO106" s="92"/>
      <c r="AP106" s="130" t="str">
        <f t="shared" si="5"/>
        <v/>
      </c>
      <c r="AQ106" s="121"/>
      <c r="AR106" s="101" t="str">
        <f>IF(OR(SUMPRODUCT(--(AJ106:AQ106&lt;&gt;""))&lt;7,AND($AJ106=マスタ!$N$3,$AK106="")), "",
        IF($AJ106=マスタ!$N$5, $BO$9,
              IF(OR($F106=マスタ!$C$3, $F106=マスタ!$C$4, $F106=マスタ!$C$5),
                    IF(SUM($AL106,$AM106,$AP106,$AQ106)&gt;=1, $BM$9, $BN$9),
              IF(OR($F106=マスタ!$C$6, $F106=マスタ!$C$7, $F106=マスタ!$C$8),
                    IF($AK106&lt;10, $BO$9,
                          IF(AND(SUM($AL106,$AM106,$AP106,$AQ106)&gt;=($AK106*0.2), $AM106+$AP106+$AQ106&gt;=1),
                               $BM$9,$BN$9))))))</f>
        <v/>
      </c>
      <c r="AS106" s="101" t="str">
        <f>IF(OR(SUMPRODUCT(--(AJ106:AQ106&lt;&gt;""))&lt;7,AND($AJ106=マスタ!$N$3,$AK106="")), "",
     IF($AR106=$BN$9,$BN$9,
        IF($AJ106=マスタ!$N$5, $BO$9,
             IF(OR($F106=マスタ!$C$3, $F106=マスタ!$C$4, $F106=マスタ!$C$5),
                   IF($AQ106&gt;=1, $BM$9, $BN$9),
             IF(OR($F106=マスタ!$C$6, $F106=マスタ!$C$7, $F106=マスタ!$C$8),
                   IF($AK106&lt;5, IF($AQ106&gt;=1, $BM$9, $BN$9),
                         IF(OR($AQ106&gt;=1,
                                    AND(SUM($AL106,$AM106,$AP106,$AQ106)&gt;=$AK106*0.5, ($AM106+$AP106+$AQ106)&gt;=($AK106*0.2))),
                              $BM$9,$BN$9)))))))</f>
        <v/>
      </c>
      <c r="AT106" s="66"/>
      <c r="AU106" s="143"/>
      <c r="AV106" s="98" t="str" cm="1">
        <f t="array" aca="1" ref="AV106" ca="1">IF(AND($F106:$G106&lt;&gt;"", $I106:$K106&lt;&gt;"",
                 IF(OR($M106=$BM$9,$O106=$BM$9), TRUE, $L106&lt;&gt;""),
                 $M106&lt;&gt;"",$O106&lt;&gt;"",
                 IF($T106=$BM$9, TRUE, $Q106:$R106&lt;&gt;""),
                 IF(AND($BL106&lt;&gt;"", $BL106&lt;&gt;マスタ!$C$5, $BL106&lt;&gt;マスタ!$C$8), TRUE, $T106&lt;&gt;""),
                 IF(OR(AND($T106=$BM$9,  $Y106=$BO$9), $Y106=$BM$9), TRUE,$W106&lt;&gt;""),
                 IF(AND($BL106&lt;&gt;"", $BL106&lt;&gt;マスタ!$C$5, $BL106&lt;&gt;マスタ!$C$8), TRUE, $Y106&lt;&gt;""),
                 $AA106&lt;&gt;"",
                 IF($AA106=マスタ!$F$4, TRUE, $AB106&lt;&gt;""),
                 $AG106:$AO106&lt;&gt;"", $AQ106&lt;&gt;"", $AT106&lt;&gt;""),
        "（正常）入力済み", IF($C106= "", "（複数入力）未入力", "（エラー）一部未入力"))</f>
        <v>（複数入力）未入力</v>
      </c>
      <c r="AW106" s="98" t="str">
        <f t="shared" ca="1" si="6"/>
        <v/>
      </c>
      <c r="AX106" s="98" t="str">
        <f t="shared" ca="1" si="32"/>
        <v/>
      </c>
      <c r="AY106" s="98" t="str">
        <f t="shared" ca="1" si="33"/>
        <v/>
      </c>
      <c r="AZ106" s="98" t="str">
        <f t="shared" ca="1" si="34"/>
        <v/>
      </c>
      <c r="BA106" s="98" t="str">
        <f t="shared" ca="1" si="35"/>
        <v/>
      </c>
      <c r="BB106" s="98" t="str">
        <f t="shared" ca="1" si="36"/>
        <v/>
      </c>
      <c r="BC106" s="98" t="str">
        <f t="shared" ca="1" si="37"/>
        <v/>
      </c>
      <c r="BD106" s="98" t="str">
        <f t="shared" ca="1" si="38"/>
        <v/>
      </c>
      <c r="BE106" s="98" t="str">
        <f>IF($BL106="","",
   IF($T106=入力不可用2,
      IF(OR($BL106=マスタ!$C$5,$BL106=マスタ!$C$8), "未入力", "（正常）規定値"),
      IF(OR($BL106=マスタ!$C$5,$BL106=マスタ!$C$8), "（正常）規定値", "（エラー）値入力不可")))</f>
        <v/>
      </c>
      <c r="BF106" s="98" t="str">
        <f ca="1">IF($C106 = "", "",
       IF(AND(OR($BL106=マスタ!$C$5, $BL106=マスタ!$C$8), $T106 = ""), "未入力",
            IF(AND($Y106 = $BM$9, $T106 = $BO$9), "（エラー）「適合」のみ入力可", "（正常）規定値")))</f>
        <v/>
      </c>
      <c r="BG106" s="98" t="str">
        <f t="shared" ca="1" si="39"/>
        <v/>
      </c>
      <c r="BH106" s="98" t="str">
        <f t="shared" ca="1" si="40"/>
        <v/>
      </c>
      <c r="BI106" s="98" t="str">
        <f>IF($BL106="","",
   IF($Y106=入力不可用2,
      IF(OR($BL106=マスタ!$C$5,$BL106=マスタ!$C$8), "未入力", "（正常）規定値"),
      IF(OR($BL106=マスタ!$C$5,$BL106=マスタ!$C$8), "（正常）規定値", "（エラー）値入力不可")))</f>
        <v/>
      </c>
      <c r="BJ106" s="98" t="str">
        <f>IF($AA106="", "",
        IF($AA106=マスタ!$F$3,
             IF($AB106="", "未入力", "（正常）規定値"),
                  IF($AA106=マスタ!$F$4,
                       IF($AB106&lt;&gt;入力不可用2, "（エラー）値入力不可", "（正常）規定値"))))</f>
        <v/>
      </c>
      <c r="BL106" s="75" t="str">
        <f>IF(OR($F106 = マスタ!$C$5, F106 = マスタ!$C$8), $F106,
        IF(AND($F106 = マスタ!$C$3, 'その１事業者基本情報_入力シート（一部非公開）'!$U$16), $F106,
             IF(AND($F106 = マスタ!$C$4, 'その１事業者基本情報_入力シート（一部非公開）'!$S$16), $F106,
                  IF(AND(OR($F106 = マスタ!$C$6, $F106 = マスタ!$C$7),
                                'その１事業者基本情報_入力シート（一部非公開）'!$W$16), $F106,
                       IF(OR($F106 = マスタ!$C$3, $F106=マスタ!$C$4), マスタ!$C$5,
                            IF(OR($F106 = マスタ!$C$6, $F106 = マスタ!$C$7), マスタ!$C$8, ""))))))</f>
        <v/>
      </c>
      <c r="BM106" s="75" t="str">
        <f>IF($L106&lt;&gt;"", $L106,
       IF($M106 = マスタ!$B$3,
          IF(OR($F106=マスタ!$C$3,$F106=マスタ!$C$4,$F106=マスタ!$C$5),
            IF(OR($G106 = マスタ!$D$54, $G106 = マスタ!$D$55), 0.75, 0.87),
            IF(OR($G106 = マスタ!$D$54, $G106 = マスタ!$D$55), 0.62, 0.72)),
                 IF(ISBLANK($L106), "", $L106)))</f>
        <v/>
      </c>
      <c r="BN106" s="99" t="str">
        <f>IF($L106&lt;&gt;"", $L106,
        IF($O106 = マスタ!$B$3,
          IF(OR($F106=マスタ!$C$3,$F106=マスタ!$C$4,$F106=マスタ!$C$5), 0.6, 0.5),
             IF(ISBLANK($L106), "", $L106)))</f>
        <v/>
      </c>
      <c r="BO106" s="99" t="str">
        <f>IF($T106&lt;&gt;マスタ!$B$3,
        IF(ISBLANK($S106),"",$S106),
             IF($BL106=マスタ!$C$3,0.8,
             IF($BL106=マスタ!$C$4,0.85,
             IF($BL106=マスタ!$C$6,0.9,
             IF($BL106=マスタ!$C$7,0.9,
             IF($BL106=マスタ!$C$5,1,
             IF($BL106=マスタ!$C$8,1,"無効な入力")))))))</f>
        <v/>
      </c>
      <c r="BP106" s="99" t="str">
        <f>IF($Y106&lt;&gt;マスタ!$B$3,
   IF(ISBLANK($X106), "", $X106),
   IF($BL106=マスタ!$C$3, 0.75,
      IF($BL106=マスタ!$C$4, 0.8,
         IF($BL106=マスタ!$C$6, 0.8,
            IF($BL106=マスタ!$C$7, 0.8,
               IF($BL106=マスタ!$C$5, 0.8,
                  IF($BL106=マスタ!$C$8, 0.8, "無効な入力")))))))</f>
        <v/>
      </c>
      <c r="BQ106" s="75"/>
      <c r="BR106" s="75"/>
      <c r="BS106" s="75"/>
      <c r="BT106" s="75"/>
      <c r="BU106" s="75"/>
      <c r="BV106" s="75"/>
      <c r="BW106" s="75"/>
      <c r="BX106" s="75"/>
      <c r="BY106" s="75"/>
    </row>
    <row r="107" spans="3:77" ht="30.75" customHeight="1">
      <c r="C107" s="69" t="str" cm="1">
        <f t="array" aca="1" ref="C107" ca="1">IF(SUMPRODUCT(--($D107:$AU107 &lt;&gt; "")),RIGHT(YEAR(TODAY()),2)&amp;"01"&amp;REPT("0",4-LEN(ROW()-11))&amp;ROW()-11,"")</f>
        <v/>
      </c>
      <c r="D107" s="141"/>
      <c r="E107" s="142"/>
      <c r="F107" s="71"/>
      <c r="G107" s="66"/>
      <c r="H107" s="41" t="str">
        <f>IFERROR(VLOOKUP(G107,マスタ!$D$3:$E$55,2,FALSE),"")</f>
        <v/>
      </c>
      <c r="I107" s="93"/>
      <c r="J107" s="77"/>
      <c r="K107" s="66"/>
      <c r="L107" s="103"/>
      <c r="M107" s="71"/>
      <c r="N107" s="101" t="str">
        <f>IF($M107 = $BM$9, $BM$9,
        IF($L107 = "", "",
              IF(OR(
                          AND(OR($G107 = マスタ!$D$54, $G107 = マスタ!$D$55), $L107 &lt;= $BP$9),
                          AND($G107 &lt;&gt; マスタ!$D$54, $G107 &lt;&gt; マスタ!$D$55, $L107 &lt;= $BQ$9)
                         ), $BM$9, $BN$9)))</f>
        <v/>
      </c>
      <c r="O107" s="71"/>
      <c r="P107" s="101" t="str">
        <f t="shared" si="31"/>
        <v/>
      </c>
      <c r="Q107" s="124"/>
      <c r="R107" s="124"/>
      <c r="S107" s="112" t="str">
        <f t="shared" si="41"/>
        <v/>
      </c>
      <c r="T107" s="71"/>
      <c r="U107" s="41" t="str">
        <f>IF($T107=$BM$9, $BM$9,
        IF($S107="", "",
             IF(OR(AND($BL107=マスタ!$C$3, $S107&lt;=$BS$9),
                        AND($BL107=マスタ!$C$4, $S107&lt;=$BT$9),
                        AND(OR($BL107=マスタ!$C$6, $BL107=マスタ!$C$7), $S107&lt;=$BU$9),
                        AND(OR($BL107=マスタ!$C$5, $BL107=マスタ!$C$8), $S107&lt;=$BV$9)),
                  $BM$9, $BN$9)))</f>
        <v/>
      </c>
      <c r="V107" s="129" t="str">
        <f t="shared" si="16"/>
        <v/>
      </c>
      <c r="W107" s="124"/>
      <c r="X107" s="112" t="str">
        <f t="shared" si="42"/>
        <v/>
      </c>
      <c r="Y107" s="71"/>
      <c r="Z107" s="41" t="str">
        <f>IF($Y107=$BM$9, $BM$9,
        IF(AND($T107 = $BM$9, $Y107 = $BO$9), $BN$9,
             IF($BL107=マスタ!$C$3,
                  IF($X107&lt;=$BW$9, $BM$9,$BN$9),
                       IF(OR($BL107=マスタ!$C$4, $BL107=マスタ!$C$5, $BL107=マスタ!$C$6, $BL107=マスタ!$C$7, $BL107=マスタ!$C$8),
                            IF($X107&lt;=$BX$9, $BM$9,$BN$9), ""))))</f>
        <v/>
      </c>
      <c r="AA107" s="71"/>
      <c r="AB107" s="71"/>
      <c r="AC107" s="71"/>
      <c r="AD107" s="165"/>
      <c r="AE107" s="71"/>
      <c r="AF107" s="165"/>
      <c r="AG107" s="92"/>
      <c r="AH107" s="92"/>
      <c r="AI107" s="92"/>
      <c r="AJ107" s="92"/>
      <c r="AK107" s="121"/>
      <c r="AL107" s="121"/>
      <c r="AM107" s="121"/>
      <c r="AN107" s="121"/>
      <c r="AO107" s="92"/>
      <c r="AP107" s="130" t="str">
        <f t="shared" si="5"/>
        <v/>
      </c>
      <c r="AQ107" s="121"/>
      <c r="AR107" s="101" t="str">
        <f>IF(OR(SUMPRODUCT(--(AJ107:AQ107&lt;&gt;""))&lt;7,AND($AJ107=マスタ!$N$3,$AK107="")), "",
        IF($AJ107=マスタ!$N$5, $BO$9,
              IF(OR($F107=マスタ!$C$3, $F107=マスタ!$C$4, $F107=マスタ!$C$5),
                    IF(SUM($AL107,$AM107,$AP107,$AQ107)&gt;=1, $BM$9, $BN$9),
              IF(OR($F107=マスタ!$C$6, $F107=マスタ!$C$7, $F107=マスタ!$C$8),
                    IF($AK107&lt;10, $BO$9,
                          IF(AND(SUM($AL107,$AM107,$AP107,$AQ107)&gt;=($AK107*0.2), $AM107+$AP107+$AQ107&gt;=1),
                               $BM$9,$BN$9))))))</f>
        <v/>
      </c>
      <c r="AS107" s="101" t="str">
        <f>IF(OR(SUMPRODUCT(--(AJ107:AQ107&lt;&gt;""))&lt;7,AND($AJ107=マスタ!$N$3,$AK107="")), "",
     IF($AR107=$BN$9,$BN$9,
        IF($AJ107=マスタ!$N$5, $BO$9,
             IF(OR($F107=マスタ!$C$3, $F107=マスタ!$C$4, $F107=マスタ!$C$5),
                   IF($AQ107&gt;=1, $BM$9, $BN$9),
             IF(OR($F107=マスタ!$C$6, $F107=マスタ!$C$7, $F107=マスタ!$C$8),
                   IF($AK107&lt;5, IF($AQ107&gt;=1, $BM$9, $BN$9),
                         IF(OR($AQ107&gt;=1,
                                    AND(SUM($AL107,$AM107,$AP107,$AQ107)&gt;=$AK107*0.5, ($AM107+$AP107+$AQ107)&gt;=($AK107*0.2))),
                              $BM$9,$BN$9)))))))</f>
        <v/>
      </c>
      <c r="AT107" s="66"/>
      <c r="AU107" s="143"/>
      <c r="AV107" s="98" t="str" cm="1">
        <f t="array" aca="1" ref="AV107" ca="1">IF(AND($F107:$G107&lt;&gt;"", $I107:$K107&lt;&gt;"",
                 IF(OR($M107=$BM$9,$O107=$BM$9), TRUE, $L107&lt;&gt;""),
                 $M107&lt;&gt;"",$O107&lt;&gt;"",
                 IF($T107=$BM$9, TRUE, $Q107:$R107&lt;&gt;""),
                 IF(AND($BL107&lt;&gt;"", $BL107&lt;&gt;マスタ!$C$5, $BL107&lt;&gt;マスタ!$C$8), TRUE, $T107&lt;&gt;""),
                 IF(OR(AND($T107=$BM$9,  $Y107=$BO$9), $Y107=$BM$9), TRUE,$W107&lt;&gt;""),
                 IF(AND($BL107&lt;&gt;"", $BL107&lt;&gt;マスタ!$C$5, $BL107&lt;&gt;マスタ!$C$8), TRUE, $Y107&lt;&gt;""),
                 $AA107&lt;&gt;"",
                 IF($AA107=マスタ!$F$4, TRUE, $AB107&lt;&gt;""),
                 $AG107:$AO107&lt;&gt;"", $AQ107&lt;&gt;"", $AT107&lt;&gt;""),
        "（正常）入力済み", IF($C107= "", "（複数入力）未入力", "（エラー）一部未入力"))</f>
        <v>（複数入力）未入力</v>
      </c>
      <c r="AW107" s="98" t="str">
        <f t="shared" ca="1" si="6"/>
        <v/>
      </c>
      <c r="AX107" s="98" t="str">
        <f t="shared" ca="1" si="32"/>
        <v/>
      </c>
      <c r="AY107" s="98" t="str">
        <f t="shared" ca="1" si="33"/>
        <v/>
      </c>
      <c r="AZ107" s="98" t="str">
        <f t="shared" ca="1" si="34"/>
        <v/>
      </c>
      <c r="BA107" s="98" t="str">
        <f t="shared" ca="1" si="35"/>
        <v/>
      </c>
      <c r="BB107" s="98" t="str">
        <f t="shared" ca="1" si="36"/>
        <v/>
      </c>
      <c r="BC107" s="98" t="str">
        <f t="shared" ca="1" si="37"/>
        <v/>
      </c>
      <c r="BD107" s="98" t="str">
        <f t="shared" ca="1" si="38"/>
        <v/>
      </c>
      <c r="BE107" s="98" t="str">
        <f>IF($BL107="","",
   IF($T107=入力不可用2,
      IF(OR($BL107=マスタ!$C$5,$BL107=マスタ!$C$8), "未入力", "（正常）規定値"),
      IF(OR($BL107=マスタ!$C$5,$BL107=マスタ!$C$8), "（正常）規定値", "（エラー）値入力不可")))</f>
        <v/>
      </c>
      <c r="BF107" s="98" t="str">
        <f ca="1">IF($C107 = "", "",
       IF(AND(OR($BL107=マスタ!$C$5, $BL107=マスタ!$C$8), $T107 = ""), "未入力",
            IF(AND($Y107 = $BM$9, $T107 = $BO$9), "（エラー）「適合」のみ入力可", "（正常）規定値")))</f>
        <v/>
      </c>
      <c r="BG107" s="98" t="str">
        <f t="shared" ca="1" si="39"/>
        <v/>
      </c>
      <c r="BH107" s="98" t="str">
        <f t="shared" ca="1" si="40"/>
        <v/>
      </c>
      <c r="BI107" s="98" t="str">
        <f>IF($BL107="","",
   IF($Y107=入力不可用2,
      IF(OR($BL107=マスタ!$C$5,$BL107=マスタ!$C$8), "未入力", "（正常）規定値"),
      IF(OR($BL107=マスタ!$C$5,$BL107=マスタ!$C$8), "（正常）規定値", "（エラー）値入力不可")))</f>
        <v/>
      </c>
      <c r="BJ107" s="98" t="str">
        <f>IF($AA107="", "",
        IF($AA107=マスタ!$F$3,
             IF($AB107="", "未入力", "（正常）規定値"),
                  IF($AA107=マスタ!$F$4,
                       IF($AB107&lt;&gt;入力不可用2, "（エラー）値入力不可", "（正常）規定値"))))</f>
        <v/>
      </c>
      <c r="BL107" s="75" t="str">
        <f>IF(OR($F107 = マスタ!$C$5, F107 = マスタ!$C$8), $F107,
        IF(AND($F107 = マスタ!$C$3, 'その１事業者基本情報_入力シート（一部非公開）'!$U$16), $F107,
             IF(AND($F107 = マスタ!$C$4, 'その１事業者基本情報_入力シート（一部非公開）'!$S$16), $F107,
                  IF(AND(OR($F107 = マスタ!$C$6, $F107 = マスタ!$C$7),
                                'その１事業者基本情報_入力シート（一部非公開）'!$W$16), $F107,
                       IF(OR($F107 = マスタ!$C$3, $F107=マスタ!$C$4), マスタ!$C$5,
                            IF(OR($F107 = マスタ!$C$6, $F107 = マスタ!$C$7), マスタ!$C$8, ""))))))</f>
        <v/>
      </c>
      <c r="BM107" s="75" t="str">
        <f>IF($L107&lt;&gt;"", $L107,
       IF($M107 = マスタ!$B$3,
          IF(OR($F107=マスタ!$C$3,$F107=マスタ!$C$4,$F107=マスタ!$C$5),
            IF(OR($G107 = マスタ!$D$54, $G107 = マスタ!$D$55), 0.75, 0.87),
            IF(OR($G107 = マスタ!$D$54, $G107 = マスタ!$D$55), 0.62, 0.72)),
                 IF(ISBLANK($L107), "", $L107)))</f>
        <v/>
      </c>
      <c r="BN107" s="99" t="str">
        <f>IF($L107&lt;&gt;"", $L107,
        IF($O107 = マスタ!$B$3,
          IF(OR($F107=マスタ!$C$3,$F107=マスタ!$C$4,$F107=マスタ!$C$5), 0.6, 0.5),
             IF(ISBLANK($L107), "", $L107)))</f>
        <v/>
      </c>
      <c r="BO107" s="99" t="str">
        <f>IF($T107&lt;&gt;マスタ!$B$3,
        IF(ISBLANK($S107),"",$S107),
             IF($BL107=マスタ!$C$3,0.8,
             IF($BL107=マスタ!$C$4,0.85,
             IF($BL107=マスタ!$C$6,0.9,
             IF($BL107=マスタ!$C$7,0.9,
             IF($BL107=マスタ!$C$5,1,
             IF($BL107=マスタ!$C$8,1,"無効な入力")))))))</f>
        <v/>
      </c>
      <c r="BP107" s="99" t="str">
        <f>IF($Y107&lt;&gt;マスタ!$B$3,
   IF(ISBLANK($X107), "", $X107),
   IF($BL107=マスタ!$C$3, 0.75,
      IF($BL107=マスタ!$C$4, 0.8,
         IF($BL107=マスタ!$C$6, 0.8,
            IF($BL107=マスタ!$C$7, 0.8,
               IF($BL107=マスタ!$C$5, 0.8,
                  IF($BL107=マスタ!$C$8, 0.8, "無効な入力")))))))</f>
        <v/>
      </c>
      <c r="BQ107" s="75"/>
      <c r="BR107" s="75"/>
      <c r="BS107" s="75"/>
      <c r="BT107" s="75"/>
      <c r="BU107" s="75"/>
      <c r="BV107" s="75"/>
      <c r="BW107" s="75"/>
      <c r="BX107" s="75"/>
      <c r="BY107" s="75"/>
    </row>
    <row r="108" spans="3:77" ht="30.75" customHeight="1">
      <c r="C108" s="69" t="str" cm="1">
        <f t="array" aca="1" ref="C108" ca="1">IF(SUMPRODUCT(--($D108:$AU108 &lt;&gt; "")),RIGHT(YEAR(TODAY()),2)&amp;"01"&amp;REPT("0",4-LEN(ROW()-11))&amp;ROW()-11,"")</f>
        <v/>
      </c>
      <c r="D108" s="141"/>
      <c r="E108" s="142"/>
      <c r="F108" s="71"/>
      <c r="G108" s="66"/>
      <c r="H108" s="41" t="str">
        <f>IFERROR(VLOOKUP(G108,マスタ!$D$3:$E$55,2,FALSE),"")</f>
        <v/>
      </c>
      <c r="I108" s="93"/>
      <c r="J108" s="77"/>
      <c r="K108" s="66"/>
      <c r="L108" s="103"/>
      <c r="M108" s="71"/>
      <c r="N108" s="101" t="str">
        <f>IF($M108 = $BM$9, $BM$9,
        IF($L108 = "", "",
              IF(OR(
                          AND(OR($G108 = マスタ!$D$54, $G108 = マスタ!$D$55), $L108 &lt;= $BP$9),
                          AND($G108 &lt;&gt; マスタ!$D$54, $G108 &lt;&gt; マスタ!$D$55, $L108 &lt;= $BQ$9)
                         ), $BM$9, $BN$9)))</f>
        <v/>
      </c>
      <c r="O108" s="71"/>
      <c r="P108" s="101" t="str">
        <f t="shared" si="31"/>
        <v/>
      </c>
      <c r="Q108" s="124"/>
      <c r="R108" s="124"/>
      <c r="S108" s="112" t="str">
        <f t="shared" si="41"/>
        <v/>
      </c>
      <c r="T108" s="71"/>
      <c r="U108" s="41" t="str">
        <f>IF($T108=$BM$9, $BM$9,
        IF($S108="", "",
             IF(OR(AND($BL108=マスタ!$C$3, $S108&lt;=$BS$9),
                        AND($BL108=マスタ!$C$4, $S108&lt;=$BT$9),
                        AND(OR($BL108=マスタ!$C$6, $BL108=マスタ!$C$7), $S108&lt;=$BU$9),
                        AND(OR($BL108=マスタ!$C$5, $BL108=マスタ!$C$8), $S108&lt;=$BV$9)),
                  $BM$9, $BN$9)))</f>
        <v/>
      </c>
      <c r="V108" s="129" t="str">
        <f t="shared" si="16"/>
        <v/>
      </c>
      <c r="W108" s="124"/>
      <c r="X108" s="112" t="str">
        <f t="shared" si="42"/>
        <v/>
      </c>
      <c r="Y108" s="71"/>
      <c r="Z108" s="41" t="str">
        <f>IF($Y108=$BM$9, $BM$9,
        IF(AND($T108 = $BM$9, $Y108 = $BO$9), $BN$9,
             IF($BL108=マスタ!$C$3,
                  IF($X108&lt;=$BW$9, $BM$9,$BN$9),
                       IF(OR($BL108=マスタ!$C$4, $BL108=マスタ!$C$5, $BL108=マスタ!$C$6, $BL108=マスタ!$C$7, $BL108=マスタ!$C$8),
                            IF($X108&lt;=$BX$9, $BM$9,$BN$9), ""))))</f>
        <v/>
      </c>
      <c r="AA108" s="71"/>
      <c r="AB108" s="71"/>
      <c r="AC108" s="71"/>
      <c r="AD108" s="165"/>
      <c r="AE108" s="71"/>
      <c r="AF108" s="165"/>
      <c r="AG108" s="92"/>
      <c r="AH108" s="92"/>
      <c r="AI108" s="92"/>
      <c r="AJ108" s="92"/>
      <c r="AK108" s="121"/>
      <c r="AL108" s="121"/>
      <c r="AM108" s="121"/>
      <c r="AN108" s="121"/>
      <c r="AO108" s="92"/>
      <c r="AP108" s="130" t="str">
        <f t="shared" si="5"/>
        <v/>
      </c>
      <c r="AQ108" s="121"/>
      <c r="AR108" s="101" t="str">
        <f>IF(OR(SUMPRODUCT(--(AJ108:AQ108&lt;&gt;""))&lt;7,AND($AJ108=マスタ!$N$3,$AK108="")), "",
        IF($AJ108=マスタ!$N$5, $BO$9,
              IF(OR($F108=マスタ!$C$3, $F108=マスタ!$C$4, $F108=マスタ!$C$5),
                    IF(SUM($AL108,$AM108,$AP108,$AQ108)&gt;=1, $BM$9, $BN$9),
              IF(OR($F108=マスタ!$C$6, $F108=マスタ!$C$7, $F108=マスタ!$C$8),
                    IF($AK108&lt;10, $BO$9,
                          IF(AND(SUM($AL108,$AM108,$AP108,$AQ108)&gt;=($AK108*0.2), $AM108+$AP108+$AQ108&gt;=1),
                               $BM$9,$BN$9))))))</f>
        <v/>
      </c>
      <c r="AS108" s="101" t="str">
        <f>IF(OR(SUMPRODUCT(--(AJ108:AQ108&lt;&gt;""))&lt;7,AND($AJ108=マスタ!$N$3,$AK108="")), "",
     IF($AR108=$BN$9,$BN$9,
        IF($AJ108=マスタ!$N$5, $BO$9,
             IF(OR($F108=マスタ!$C$3, $F108=マスタ!$C$4, $F108=マスタ!$C$5),
                   IF($AQ108&gt;=1, $BM$9, $BN$9),
             IF(OR($F108=マスタ!$C$6, $F108=マスタ!$C$7, $F108=マスタ!$C$8),
                   IF($AK108&lt;5, IF($AQ108&gt;=1, $BM$9, $BN$9),
                         IF(OR($AQ108&gt;=1,
                                    AND(SUM($AL108,$AM108,$AP108,$AQ108)&gt;=$AK108*0.5, ($AM108+$AP108+$AQ108)&gt;=($AK108*0.2))),
                              $BM$9,$BN$9)))))))</f>
        <v/>
      </c>
      <c r="AT108" s="66"/>
      <c r="AU108" s="143"/>
      <c r="AV108" s="98" t="str" cm="1">
        <f t="array" aca="1" ref="AV108" ca="1">IF(AND($F108:$G108&lt;&gt;"", $I108:$K108&lt;&gt;"",
                 IF(OR($M108=$BM$9,$O108=$BM$9), TRUE, $L108&lt;&gt;""),
                 $M108&lt;&gt;"",$O108&lt;&gt;"",
                 IF($T108=$BM$9, TRUE, $Q108:$R108&lt;&gt;""),
                 IF(AND($BL108&lt;&gt;"", $BL108&lt;&gt;マスタ!$C$5, $BL108&lt;&gt;マスタ!$C$8), TRUE, $T108&lt;&gt;""),
                 IF(OR(AND($T108=$BM$9,  $Y108=$BO$9), $Y108=$BM$9), TRUE,$W108&lt;&gt;""),
                 IF(AND($BL108&lt;&gt;"", $BL108&lt;&gt;マスタ!$C$5, $BL108&lt;&gt;マスタ!$C$8), TRUE, $Y108&lt;&gt;""),
                 $AA108&lt;&gt;"",
                 IF($AA108=マスタ!$F$4, TRUE, $AB108&lt;&gt;""),
                 $AG108:$AO108&lt;&gt;"", $AQ108&lt;&gt;"", $AT108&lt;&gt;""),
        "（正常）入力済み", IF($C108= "", "（複数入力）未入力", "（エラー）一部未入力"))</f>
        <v>（複数入力）未入力</v>
      </c>
      <c r="AW108" s="98" t="str">
        <f t="shared" ca="1" si="6"/>
        <v/>
      </c>
      <c r="AX108" s="98" t="str">
        <f t="shared" ca="1" si="32"/>
        <v/>
      </c>
      <c r="AY108" s="98" t="str">
        <f t="shared" ca="1" si="33"/>
        <v/>
      </c>
      <c r="AZ108" s="98" t="str">
        <f t="shared" ca="1" si="34"/>
        <v/>
      </c>
      <c r="BA108" s="98" t="str">
        <f t="shared" ca="1" si="35"/>
        <v/>
      </c>
      <c r="BB108" s="98" t="str">
        <f t="shared" ca="1" si="36"/>
        <v/>
      </c>
      <c r="BC108" s="98" t="str">
        <f t="shared" ca="1" si="37"/>
        <v/>
      </c>
      <c r="BD108" s="98" t="str">
        <f t="shared" ca="1" si="38"/>
        <v/>
      </c>
      <c r="BE108" s="98" t="str">
        <f>IF($BL108="","",
   IF($T108=入力不可用2,
      IF(OR($BL108=マスタ!$C$5,$BL108=マスタ!$C$8), "未入力", "（正常）規定値"),
      IF(OR($BL108=マスタ!$C$5,$BL108=マスタ!$C$8), "（正常）規定値", "（エラー）値入力不可")))</f>
        <v/>
      </c>
      <c r="BF108" s="98" t="str">
        <f ca="1">IF($C108 = "", "",
       IF(AND(OR($BL108=マスタ!$C$5, $BL108=マスタ!$C$8), $T108 = ""), "未入力",
            IF(AND($Y108 = $BM$9, $T108 = $BO$9), "（エラー）「適合」のみ入力可", "（正常）規定値")))</f>
        <v/>
      </c>
      <c r="BG108" s="98" t="str">
        <f t="shared" ca="1" si="39"/>
        <v/>
      </c>
      <c r="BH108" s="98" t="str">
        <f t="shared" ca="1" si="40"/>
        <v/>
      </c>
      <c r="BI108" s="98" t="str">
        <f>IF($BL108="","",
   IF($Y108=入力不可用2,
      IF(OR($BL108=マスタ!$C$5,$BL108=マスタ!$C$8), "未入力", "（正常）規定値"),
      IF(OR($BL108=マスタ!$C$5,$BL108=マスタ!$C$8), "（正常）規定値", "（エラー）値入力不可")))</f>
        <v/>
      </c>
      <c r="BJ108" s="98" t="str">
        <f>IF($AA108="", "",
        IF($AA108=マスタ!$F$3,
             IF($AB108="", "未入力", "（正常）規定値"),
                  IF($AA108=マスタ!$F$4,
                       IF($AB108&lt;&gt;入力不可用2, "（エラー）値入力不可", "（正常）規定値"))))</f>
        <v/>
      </c>
      <c r="BL108" s="75" t="str">
        <f>IF(OR($F108 = マスタ!$C$5, F108 = マスタ!$C$8), $F108,
        IF(AND($F108 = マスタ!$C$3, 'その１事業者基本情報_入力シート（一部非公開）'!$U$16), $F108,
             IF(AND($F108 = マスタ!$C$4, 'その１事業者基本情報_入力シート（一部非公開）'!$S$16), $F108,
                  IF(AND(OR($F108 = マスタ!$C$6, $F108 = マスタ!$C$7),
                                'その１事業者基本情報_入力シート（一部非公開）'!$W$16), $F108,
                       IF(OR($F108 = マスタ!$C$3, $F108=マスタ!$C$4), マスタ!$C$5,
                            IF(OR($F108 = マスタ!$C$6, $F108 = マスタ!$C$7), マスタ!$C$8, ""))))))</f>
        <v/>
      </c>
      <c r="BM108" s="75" t="str">
        <f>IF($L108&lt;&gt;"", $L108,
       IF($M108 = マスタ!$B$3,
          IF(OR($F108=マスタ!$C$3,$F108=マスタ!$C$4,$F108=マスタ!$C$5),
            IF(OR($G108 = マスタ!$D$54, $G108 = マスタ!$D$55), 0.75, 0.87),
            IF(OR($G108 = マスタ!$D$54, $G108 = マスタ!$D$55), 0.62, 0.72)),
                 IF(ISBLANK($L108), "", $L108)))</f>
        <v/>
      </c>
      <c r="BN108" s="99" t="str">
        <f>IF($L108&lt;&gt;"", $L108,
        IF($O108 = マスタ!$B$3,
          IF(OR($F108=マスタ!$C$3,$F108=マスタ!$C$4,$F108=マスタ!$C$5), 0.6, 0.5),
             IF(ISBLANK($L108), "", $L108)))</f>
        <v/>
      </c>
      <c r="BO108" s="99" t="str">
        <f>IF($T108&lt;&gt;マスタ!$B$3,
        IF(ISBLANK($S108),"",$S108),
             IF($BL108=マスタ!$C$3,0.8,
             IF($BL108=マスタ!$C$4,0.85,
             IF($BL108=マスタ!$C$6,0.9,
             IF($BL108=マスタ!$C$7,0.9,
             IF($BL108=マスタ!$C$5,1,
             IF($BL108=マスタ!$C$8,1,"無効な入力")))))))</f>
        <v/>
      </c>
      <c r="BP108" s="99" t="str">
        <f>IF($Y108&lt;&gt;マスタ!$B$3,
   IF(ISBLANK($X108), "", $X108),
   IF($BL108=マスタ!$C$3, 0.75,
      IF($BL108=マスタ!$C$4, 0.8,
         IF($BL108=マスタ!$C$6, 0.8,
            IF($BL108=マスタ!$C$7, 0.8,
               IF($BL108=マスタ!$C$5, 0.8,
                  IF($BL108=マスタ!$C$8, 0.8, "無効な入力")))))))</f>
        <v/>
      </c>
      <c r="BQ108" s="75"/>
      <c r="BR108" s="75"/>
      <c r="BS108" s="75"/>
      <c r="BT108" s="75"/>
      <c r="BU108" s="75"/>
      <c r="BV108" s="75"/>
      <c r="BW108" s="75"/>
      <c r="BX108" s="75"/>
      <c r="BY108" s="75"/>
    </row>
    <row r="109" spans="3:77" ht="30.75" customHeight="1">
      <c r="C109" s="69" t="str" cm="1">
        <f t="array" aca="1" ref="C109" ca="1">IF(SUMPRODUCT(--($D109:$AU109 &lt;&gt; "")),RIGHT(YEAR(TODAY()),2)&amp;"01"&amp;REPT("0",4-LEN(ROW()-11))&amp;ROW()-11,"")</f>
        <v/>
      </c>
      <c r="D109" s="141"/>
      <c r="E109" s="142"/>
      <c r="F109" s="71"/>
      <c r="G109" s="66"/>
      <c r="H109" s="41" t="str">
        <f>IFERROR(VLOOKUP(G109,マスタ!$D$3:$E$55,2,FALSE),"")</f>
        <v/>
      </c>
      <c r="I109" s="93"/>
      <c r="J109" s="77"/>
      <c r="K109" s="66"/>
      <c r="L109" s="103"/>
      <c r="M109" s="71"/>
      <c r="N109" s="101" t="str">
        <f>IF($M109 = $BM$9, $BM$9,
        IF($L109 = "", "",
              IF(OR(
                          AND(OR($G109 = マスタ!$D$54, $G109 = マスタ!$D$55), $L109 &lt;= $BP$9),
                          AND($G109 &lt;&gt; マスタ!$D$54, $G109 &lt;&gt; マスタ!$D$55, $L109 &lt;= $BQ$9)
                         ), $BM$9, $BN$9)))</f>
        <v/>
      </c>
      <c r="O109" s="71"/>
      <c r="P109" s="101" t="str">
        <f t="shared" si="31"/>
        <v/>
      </c>
      <c r="Q109" s="124"/>
      <c r="R109" s="124"/>
      <c r="S109" s="112" t="str">
        <f t="shared" si="41"/>
        <v/>
      </c>
      <c r="T109" s="71"/>
      <c r="U109" s="41" t="str">
        <f>IF($T109=$BM$9, $BM$9,
        IF($S109="", "",
             IF(OR(AND($BL109=マスタ!$C$3, $S109&lt;=$BS$9),
                        AND($BL109=マスタ!$C$4, $S109&lt;=$BT$9),
                        AND(OR($BL109=マスタ!$C$6, $BL109=マスタ!$C$7), $S109&lt;=$BU$9),
                        AND(OR($BL109=マスタ!$C$5, $BL109=マスタ!$C$8), $S109&lt;=$BV$9)),
                  $BM$9, $BN$9)))</f>
        <v/>
      </c>
      <c r="V109" s="129" t="str">
        <f t="shared" si="16"/>
        <v/>
      </c>
      <c r="W109" s="124"/>
      <c r="X109" s="112" t="str">
        <f t="shared" si="42"/>
        <v/>
      </c>
      <c r="Y109" s="71"/>
      <c r="Z109" s="41" t="str">
        <f>IF($Y109=$BM$9, $BM$9,
        IF(AND($T109 = $BM$9, $Y109 = $BO$9), $BN$9,
             IF($BL109=マスタ!$C$3,
                  IF($X109&lt;=$BW$9, $BM$9,$BN$9),
                       IF(OR($BL109=マスタ!$C$4, $BL109=マスタ!$C$5, $BL109=マスタ!$C$6, $BL109=マスタ!$C$7, $BL109=マスタ!$C$8),
                            IF($X109&lt;=$BX$9, $BM$9,$BN$9), ""))))</f>
        <v/>
      </c>
      <c r="AA109" s="71"/>
      <c r="AB109" s="71"/>
      <c r="AC109" s="71"/>
      <c r="AD109" s="165"/>
      <c r="AE109" s="71"/>
      <c r="AF109" s="165"/>
      <c r="AG109" s="92"/>
      <c r="AH109" s="92"/>
      <c r="AI109" s="92"/>
      <c r="AJ109" s="92"/>
      <c r="AK109" s="121"/>
      <c r="AL109" s="121"/>
      <c r="AM109" s="121"/>
      <c r="AN109" s="121"/>
      <c r="AO109" s="92"/>
      <c r="AP109" s="130" t="str">
        <f t="shared" si="5"/>
        <v/>
      </c>
      <c r="AQ109" s="121"/>
      <c r="AR109" s="101" t="str">
        <f>IF(OR(SUMPRODUCT(--(AJ109:AQ109&lt;&gt;""))&lt;7,AND($AJ109=マスタ!$N$3,$AK109="")), "",
        IF($AJ109=マスタ!$N$5, $BO$9,
              IF(OR($F109=マスタ!$C$3, $F109=マスタ!$C$4, $F109=マスタ!$C$5),
                    IF(SUM($AL109,$AM109,$AP109,$AQ109)&gt;=1, $BM$9, $BN$9),
              IF(OR($F109=マスタ!$C$6, $F109=マスタ!$C$7, $F109=マスタ!$C$8),
                    IF($AK109&lt;10, $BO$9,
                          IF(AND(SUM($AL109,$AM109,$AP109,$AQ109)&gt;=($AK109*0.2), $AM109+$AP109+$AQ109&gt;=1),
                               $BM$9,$BN$9))))))</f>
        <v/>
      </c>
      <c r="AS109" s="101" t="str">
        <f>IF(OR(SUMPRODUCT(--(AJ109:AQ109&lt;&gt;""))&lt;7,AND($AJ109=マスタ!$N$3,$AK109="")), "",
     IF($AR109=$BN$9,$BN$9,
        IF($AJ109=マスタ!$N$5, $BO$9,
             IF(OR($F109=マスタ!$C$3, $F109=マスタ!$C$4, $F109=マスタ!$C$5),
                   IF($AQ109&gt;=1, $BM$9, $BN$9),
             IF(OR($F109=マスタ!$C$6, $F109=マスタ!$C$7, $F109=マスタ!$C$8),
                   IF($AK109&lt;5, IF($AQ109&gt;=1, $BM$9, $BN$9),
                         IF(OR($AQ109&gt;=1,
                                    AND(SUM($AL109,$AM109,$AP109,$AQ109)&gt;=$AK109*0.5, ($AM109+$AP109+$AQ109)&gt;=($AK109*0.2))),
                              $BM$9,$BN$9)))))))</f>
        <v/>
      </c>
      <c r="AT109" s="66"/>
      <c r="AU109" s="143"/>
      <c r="AV109" s="98" t="str" cm="1">
        <f t="array" aca="1" ref="AV109" ca="1">IF(AND($F109:$G109&lt;&gt;"", $I109:$K109&lt;&gt;"",
                 IF(OR($M109=$BM$9,$O109=$BM$9), TRUE, $L109&lt;&gt;""),
                 $M109&lt;&gt;"",$O109&lt;&gt;"",
                 IF($T109=$BM$9, TRUE, $Q109:$R109&lt;&gt;""),
                 IF(AND($BL109&lt;&gt;"", $BL109&lt;&gt;マスタ!$C$5, $BL109&lt;&gt;マスタ!$C$8), TRUE, $T109&lt;&gt;""),
                 IF(OR(AND($T109=$BM$9,  $Y109=$BO$9), $Y109=$BM$9), TRUE,$W109&lt;&gt;""),
                 IF(AND($BL109&lt;&gt;"", $BL109&lt;&gt;マスタ!$C$5, $BL109&lt;&gt;マスタ!$C$8), TRUE, $Y109&lt;&gt;""),
                 $AA109&lt;&gt;"",
                 IF($AA109=マスタ!$F$4, TRUE, $AB109&lt;&gt;""),
                 $AG109:$AO109&lt;&gt;"", $AQ109&lt;&gt;"", $AT109&lt;&gt;""),
        "（正常）入力済み", IF($C109= "", "（複数入力）未入力", "（エラー）一部未入力"))</f>
        <v>（複数入力）未入力</v>
      </c>
      <c r="AW109" s="98" t="str">
        <f t="shared" ca="1" si="6"/>
        <v/>
      </c>
      <c r="AX109" s="98" t="str">
        <f t="shared" ca="1" si="32"/>
        <v/>
      </c>
      <c r="AY109" s="98" t="str">
        <f t="shared" ca="1" si="33"/>
        <v/>
      </c>
      <c r="AZ109" s="98" t="str">
        <f t="shared" ca="1" si="34"/>
        <v/>
      </c>
      <c r="BA109" s="98" t="str">
        <f t="shared" ca="1" si="35"/>
        <v/>
      </c>
      <c r="BB109" s="98" t="str">
        <f t="shared" ca="1" si="36"/>
        <v/>
      </c>
      <c r="BC109" s="98" t="str">
        <f t="shared" ca="1" si="37"/>
        <v/>
      </c>
      <c r="BD109" s="98" t="str">
        <f t="shared" ca="1" si="38"/>
        <v/>
      </c>
      <c r="BE109" s="98" t="str">
        <f>IF($BL109="","",
   IF($T109=入力不可用2,
      IF(OR($BL109=マスタ!$C$5,$BL109=マスタ!$C$8), "未入力", "（正常）規定値"),
      IF(OR($BL109=マスタ!$C$5,$BL109=マスタ!$C$8), "（正常）規定値", "（エラー）値入力不可")))</f>
        <v/>
      </c>
      <c r="BF109" s="98" t="str">
        <f ca="1">IF($C109 = "", "",
       IF(AND(OR($BL109=マスタ!$C$5, $BL109=マスタ!$C$8), $T109 = ""), "未入力",
            IF(AND($Y109 = $BM$9, $T109 = $BO$9), "（エラー）「適合」のみ入力可", "（正常）規定値")))</f>
        <v/>
      </c>
      <c r="BG109" s="98" t="str">
        <f t="shared" ca="1" si="39"/>
        <v/>
      </c>
      <c r="BH109" s="98" t="str">
        <f t="shared" ca="1" si="40"/>
        <v/>
      </c>
      <c r="BI109" s="98" t="str">
        <f>IF($BL109="","",
   IF($Y109=入力不可用2,
      IF(OR($BL109=マスタ!$C$5,$BL109=マスタ!$C$8), "未入力", "（正常）規定値"),
      IF(OR($BL109=マスタ!$C$5,$BL109=マスタ!$C$8), "（正常）規定値", "（エラー）値入力不可")))</f>
        <v/>
      </c>
      <c r="BJ109" s="98" t="str">
        <f>IF($AA109="", "",
        IF($AA109=マスタ!$F$3,
             IF($AB109="", "未入力", "（正常）規定値"),
                  IF($AA109=マスタ!$F$4,
                       IF($AB109&lt;&gt;入力不可用2, "（エラー）値入力不可", "（正常）規定値"))))</f>
        <v/>
      </c>
      <c r="BL109" s="75" t="str">
        <f>IF(OR($F109 = マスタ!$C$5, F109 = マスタ!$C$8), $F109,
        IF(AND($F109 = マスタ!$C$3, 'その１事業者基本情報_入力シート（一部非公開）'!$U$16), $F109,
             IF(AND($F109 = マスタ!$C$4, 'その１事業者基本情報_入力シート（一部非公開）'!$S$16), $F109,
                  IF(AND(OR($F109 = マスタ!$C$6, $F109 = マスタ!$C$7),
                                'その１事業者基本情報_入力シート（一部非公開）'!$W$16), $F109,
                       IF(OR($F109 = マスタ!$C$3, $F109=マスタ!$C$4), マスタ!$C$5,
                            IF(OR($F109 = マスタ!$C$6, $F109 = マスタ!$C$7), マスタ!$C$8, ""))))))</f>
        <v/>
      </c>
      <c r="BM109" s="75" t="str">
        <f>IF($L109&lt;&gt;"", $L109,
       IF($M109 = マスタ!$B$3,
          IF(OR($F109=マスタ!$C$3,$F109=マスタ!$C$4,$F109=マスタ!$C$5),
            IF(OR($G109 = マスタ!$D$54, $G109 = マスタ!$D$55), 0.75, 0.87),
            IF(OR($G109 = マスタ!$D$54, $G109 = マスタ!$D$55), 0.62, 0.72)),
                 IF(ISBLANK($L109), "", $L109)))</f>
        <v/>
      </c>
      <c r="BN109" s="99" t="str">
        <f>IF($L109&lt;&gt;"", $L109,
        IF($O109 = マスタ!$B$3,
          IF(OR($F109=マスタ!$C$3,$F109=マスタ!$C$4,$F109=マスタ!$C$5), 0.6, 0.5),
             IF(ISBLANK($L109), "", $L109)))</f>
        <v/>
      </c>
      <c r="BO109" s="99" t="str">
        <f>IF($T109&lt;&gt;マスタ!$B$3,
        IF(ISBLANK($S109),"",$S109),
             IF($BL109=マスタ!$C$3,0.8,
             IF($BL109=マスタ!$C$4,0.85,
             IF($BL109=マスタ!$C$6,0.9,
             IF($BL109=マスタ!$C$7,0.9,
             IF($BL109=マスタ!$C$5,1,
             IF($BL109=マスタ!$C$8,1,"無効な入力")))))))</f>
        <v/>
      </c>
      <c r="BP109" s="99" t="str">
        <f>IF($Y109&lt;&gt;マスタ!$B$3,
   IF(ISBLANK($X109), "", $X109),
   IF($BL109=マスタ!$C$3, 0.75,
      IF($BL109=マスタ!$C$4, 0.8,
         IF($BL109=マスタ!$C$6, 0.8,
            IF($BL109=マスタ!$C$7, 0.8,
               IF($BL109=マスタ!$C$5, 0.8,
                  IF($BL109=マスタ!$C$8, 0.8, "無効な入力")))))))</f>
        <v/>
      </c>
      <c r="BQ109" s="75"/>
      <c r="BR109" s="75"/>
      <c r="BS109" s="75"/>
      <c r="BT109" s="75"/>
      <c r="BU109" s="75"/>
      <c r="BV109" s="75"/>
      <c r="BW109" s="75"/>
      <c r="BX109" s="75"/>
      <c r="BY109" s="75"/>
    </row>
    <row r="110" spans="3:77" ht="30.75" customHeight="1">
      <c r="C110" s="69" t="str" cm="1">
        <f t="array" aca="1" ref="C110" ca="1">IF(SUMPRODUCT(--($D110:$AU110 &lt;&gt; "")),RIGHT(YEAR(TODAY()),2)&amp;"01"&amp;REPT("0",4-LEN(ROW()-11))&amp;ROW()-11,"")</f>
        <v/>
      </c>
      <c r="D110" s="141"/>
      <c r="E110" s="142"/>
      <c r="F110" s="71"/>
      <c r="G110" s="66"/>
      <c r="H110" s="41" t="str">
        <f>IFERROR(VLOOKUP(G110,マスタ!$D$3:$E$55,2,FALSE),"")</f>
        <v/>
      </c>
      <c r="I110" s="93"/>
      <c r="J110" s="77"/>
      <c r="K110" s="66"/>
      <c r="L110" s="103"/>
      <c r="M110" s="71"/>
      <c r="N110" s="101" t="str">
        <f>IF($M110 = $BM$9, $BM$9,
        IF($L110 = "", "",
              IF(OR(
                          AND(OR($G110 = マスタ!$D$54, $G110 = マスタ!$D$55), $L110 &lt;= $BP$9),
                          AND($G110 &lt;&gt; マスタ!$D$54, $G110 &lt;&gt; マスタ!$D$55, $L110 &lt;= $BQ$9)
                         ), $BM$9, $BN$9)))</f>
        <v/>
      </c>
      <c r="O110" s="71"/>
      <c r="P110" s="101" t="str">
        <f t="shared" si="31"/>
        <v/>
      </c>
      <c r="Q110" s="124"/>
      <c r="R110" s="124"/>
      <c r="S110" s="112" t="str">
        <f t="shared" si="41"/>
        <v/>
      </c>
      <c r="T110" s="71"/>
      <c r="U110" s="41" t="str">
        <f>IF($T110=$BM$9, $BM$9,
        IF($S110="", "",
             IF(OR(AND($BL110=マスタ!$C$3, $S110&lt;=$BS$9),
                        AND($BL110=マスタ!$C$4, $S110&lt;=$BT$9),
                        AND(OR($BL110=マスタ!$C$6, $BL110=マスタ!$C$7), $S110&lt;=$BU$9),
                        AND(OR($BL110=マスタ!$C$5, $BL110=マスタ!$C$8), $S110&lt;=$BV$9)),
                  $BM$9, $BN$9)))</f>
        <v/>
      </c>
      <c r="V110" s="129" t="str">
        <f t="shared" si="16"/>
        <v/>
      </c>
      <c r="W110" s="124"/>
      <c r="X110" s="112" t="str">
        <f t="shared" si="42"/>
        <v/>
      </c>
      <c r="Y110" s="71"/>
      <c r="Z110" s="41" t="str">
        <f>IF($Y110=$BM$9, $BM$9,
        IF(AND($T110 = $BM$9, $Y110 = $BO$9), $BN$9,
             IF($BL110=マスタ!$C$3,
                  IF($X110&lt;=$BW$9, $BM$9,$BN$9),
                       IF(OR($BL110=マスタ!$C$4, $BL110=マスタ!$C$5, $BL110=マスタ!$C$6, $BL110=マスタ!$C$7, $BL110=マスタ!$C$8),
                            IF($X110&lt;=$BX$9, $BM$9,$BN$9), ""))))</f>
        <v/>
      </c>
      <c r="AA110" s="71"/>
      <c r="AB110" s="71"/>
      <c r="AC110" s="71"/>
      <c r="AD110" s="165"/>
      <c r="AE110" s="71"/>
      <c r="AF110" s="165"/>
      <c r="AG110" s="92"/>
      <c r="AH110" s="92"/>
      <c r="AI110" s="92"/>
      <c r="AJ110" s="92"/>
      <c r="AK110" s="121"/>
      <c r="AL110" s="121"/>
      <c r="AM110" s="121"/>
      <c r="AN110" s="121"/>
      <c r="AO110" s="92"/>
      <c r="AP110" s="130" t="str">
        <f t="shared" si="5"/>
        <v/>
      </c>
      <c r="AQ110" s="121"/>
      <c r="AR110" s="101" t="str">
        <f>IF(OR(SUMPRODUCT(--(AJ110:AQ110&lt;&gt;""))&lt;7,AND($AJ110=マスタ!$N$3,$AK110="")), "",
        IF($AJ110=マスタ!$N$5, $BO$9,
              IF(OR($F110=マスタ!$C$3, $F110=マスタ!$C$4, $F110=マスタ!$C$5),
                    IF(SUM($AL110,$AM110,$AP110,$AQ110)&gt;=1, $BM$9, $BN$9),
              IF(OR($F110=マスタ!$C$6, $F110=マスタ!$C$7, $F110=マスタ!$C$8),
                    IF($AK110&lt;10, $BO$9,
                          IF(AND(SUM($AL110,$AM110,$AP110,$AQ110)&gt;=($AK110*0.2), $AM110+$AP110+$AQ110&gt;=1),
                               $BM$9,$BN$9))))))</f>
        <v/>
      </c>
      <c r="AS110" s="101" t="str">
        <f>IF(OR(SUMPRODUCT(--(AJ110:AQ110&lt;&gt;""))&lt;7,AND($AJ110=マスタ!$N$3,$AK110="")), "",
     IF($AR110=$BN$9,$BN$9,
        IF($AJ110=マスタ!$N$5, $BO$9,
             IF(OR($F110=マスタ!$C$3, $F110=マスタ!$C$4, $F110=マスタ!$C$5),
                   IF($AQ110&gt;=1, $BM$9, $BN$9),
             IF(OR($F110=マスタ!$C$6, $F110=マスタ!$C$7, $F110=マスタ!$C$8),
                   IF($AK110&lt;5, IF($AQ110&gt;=1, $BM$9, $BN$9),
                         IF(OR($AQ110&gt;=1,
                                    AND(SUM($AL110,$AM110,$AP110,$AQ110)&gt;=$AK110*0.5, ($AM110+$AP110+$AQ110)&gt;=($AK110*0.2))),
                              $BM$9,$BN$9)))))))</f>
        <v/>
      </c>
      <c r="AT110" s="66"/>
      <c r="AU110" s="143"/>
      <c r="AV110" s="98" t="str" cm="1">
        <f t="array" aca="1" ref="AV110" ca="1">IF(AND($F110:$G110&lt;&gt;"", $I110:$K110&lt;&gt;"",
                 IF(OR($M110=$BM$9,$O110=$BM$9), TRUE, $L110&lt;&gt;""),
                 $M110&lt;&gt;"",$O110&lt;&gt;"",
                 IF($T110=$BM$9, TRUE, $Q110:$R110&lt;&gt;""),
                 IF(AND($BL110&lt;&gt;"", $BL110&lt;&gt;マスタ!$C$5, $BL110&lt;&gt;マスタ!$C$8), TRUE, $T110&lt;&gt;""),
                 IF(OR(AND($T110=$BM$9,  $Y110=$BO$9), $Y110=$BM$9), TRUE,$W110&lt;&gt;""),
                 IF(AND($BL110&lt;&gt;"", $BL110&lt;&gt;マスタ!$C$5, $BL110&lt;&gt;マスタ!$C$8), TRUE, $Y110&lt;&gt;""),
                 $AA110&lt;&gt;"",
                 IF($AA110=マスタ!$F$4, TRUE, $AB110&lt;&gt;""),
                 $AG110:$AO110&lt;&gt;"", $AQ110&lt;&gt;"", $AT110&lt;&gt;""),
        "（正常）入力済み", IF($C110= "", "（複数入力）未入力", "（エラー）一部未入力"))</f>
        <v>（複数入力）未入力</v>
      </c>
      <c r="AW110" s="98" t="str">
        <f t="shared" ca="1" si="6"/>
        <v/>
      </c>
      <c r="AX110" s="98" t="str">
        <f t="shared" ca="1" si="32"/>
        <v/>
      </c>
      <c r="AY110" s="98" t="str">
        <f t="shared" ca="1" si="33"/>
        <v/>
      </c>
      <c r="AZ110" s="98" t="str">
        <f t="shared" ca="1" si="34"/>
        <v/>
      </c>
      <c r="BA110" s="98" t="str">
        <f t="shared" ca="1" si="35"/>
        <v/>
      </c>
      <c r="BB110" s="98" t="str">
        <f t="shared" ca="1" si="36"/>
        <v/>
      </c>
      <c r="BC110" s="98" t="str">
        <f t="shared" ca="1" si="37"/>
        <v/>
      </c>
      <c r="BD110" s="98" t="str">
        <f t="shared" ca="1" si="38"/>
        <v/>
      </c>
      <c r="BE110" s="98" t="str">
        <f>IF($BL110="","",
   IF($T110=入力不可用2,
      IF(OR($BL110=マスタ!$C$5,$BL110=マスタ!$C$8), "未入力", "（正常）規定値"),
      IF(OR($BL110=マスタ!$C$5,$BL110=マスタ!$C$8), "（正常）規定値", "（エラー）値入力不可")))</f>
        <v/>
      </c>
      <c r="BF110" s="98" t="str">
        <f ca="1">IF($C110 = "", "",
       IF(AND(OR($BL110=マスタ!$C$5, $BL110=マスタ!$C$8), $T110 = ""), "未入力",
            IF(AND($Y110 = $BM$9, $T110 = $BO$9), "（エラー）「適合」のみ入力可", "（正常）規定値")))</f>
        <v/>
      </c>
      <c r="BG110" s="98" t="str">
        <f t="shared" ca="1" si="39"/>
        <v/>
      </c>
      <c r="BH110" s="98" t="str">
        <f t="shared" ca="1" si="40"/>
        <v/>
      </c>
      <c r="BI110" s="98" t="str">
        <f>IF($BL110="","",
   IF($Y110=入力不可用2,
      IF(OR($BL110=マスタ!$C$5,$BL110=マスタ!$C$8), "未入力", "（正常）規定値"),
      IF(OR($BL110=マスタ!$C$5,$BL110=マスタ!$C$8), "（正常）規定値", "（エラー）値入力不可")))</f>
        <v/>
      </c>
      <c r="BJ110" s="98" t="str">
        <f>IF($AA110="", "",
        IF($AA110=マスタ!$F$3,
             IF($AB110="", "未入力", "（正常）規定値"),
                  IF($AA110=マスタ!$F$4,
                       IF($AB110&lt;&gt;入力不可用2, "（エラー）値入力不可", "（正常）規定値"))))</f>
        <v/>
      </c>
      <c r="BL110" s="75" t="str">
        <f>IF(OR($F110 = マスタ!$C$5, F110 = マスタ!$C$8), $F110,
        IF(AND($F110 = マスタ!$C$3, 'その１事業者基本情報_入力シート（一部非公開）'!$U$16), $F110,
             IF(AND($F110 = マスタ!$C$4, 'その１事業者基本情報_入力シート（一部非公開）'!$S$16), $F110,
                  IF(AND(OR($F110 = マスタ!$C$6, $F110 = マスタ!$C$7),
                                'その１事業者基本情報_入力シート（一部非公開）'!$W$16), $F110,
                       IF(OR($F110 = マスタ!$C$3, $F110=マスタ!$C$4), マスタ!$C$5,
                            IF(OR($F110 = マスタ!$C$6, $F110 = マスタ!$C$7), マスタ!$C$8, ""))))))</f>
        <v/>
      </c>
      <c r="BM110" s="75" t="str">
        <f>IF($L110&lt;&gt;"", $L110,
       IF($M110 = マスタ!$B$3,
          IF(OR($F110=マスタ!$C$3,$F110=マスタ!$C$4,$F110=マスタ!$C$5),
            IF(OR($G110 = マスタ!$D$54, $G110 = マスタ!$D$55), 0.75, 0.87),
            IF(OR($G110 = マスタ!$D$54, $G110 = マスタ!$D$55), 0.62, 0.72)),
                 IF(ISBLANK($L110), "", $L110)))</f>
        <v/>
      </c>
      <c r="BN110" s="99" t="str">
        <f>IF($L110&lt;&gt;"", $L110,
        IF($O110 = マスタ!$B$3,
          IF(OR($F110=マスタ!$C$3,$F110=マスタ!$C$4,$F110=マスタ!$C$5), 0.6, 0.5),
             IF(ISBLANK($L110), "", $L110)))</f>
        <v/>
      </c>
      <c r="BO110" s="99" t="str">
        <f>IF($T110&lt;&gt;マスタ!$B$3,
        IF(ISBLANK($S110),"",$S110),
             IF($BL110=マスタ!$C$3,0.8,
             IF($BL110=マスタ!$C$4,0.85,
             IF($BL110=マスタ!$C$6,0.9,
             IF($BL110=マスタ!$C$7,0.9,
             IF($BL110=マスタ!$C$5,1,
             IF($BL110=マスタ!$C$8,1,"無効な入力")))))))</f>
        <v/>
      </c>
      <c r="BP110" s="99" t="str">
        <f>IF($Y110&lt;&gt;マスタ!$B$3,
   IF(ISBLANK($X110), "", $X110),
   IF($BL110=マスタ!$C$3, 0.75,
      IF($BL110=マスタ!$C$4, 0.8,
         IF($BL110=マスタ!$C$6, 0.8,
            IF($BL110=マスタ!$C$7, 0.8,
               IF($BL110=マスタ!$C$5, 0.8,
                  IF($BL110=マスタ!$C$8, 0.8, "無効な入力")))))))</f>
        <v/>
      </c>
      <c r="BQ110" s="75"/>
      <c r="BR110" s="75"/>
      <c r="BS110" s="75"/>
      <c r="BT110" s="75"/>
      <c r="BU110" s="75"/>
      <c r="BV110" s="75"/>
      <c r="BW110" s="75"/>
      <c r="BX110" s="75"/>
      <c r="BY110" s="75"/>
    </row>
    <row r="111" spans="3:77" ht="30.75" customHeight="1">
      <c r="C111" s="69" t="str" cm="1">
        <f t="array" aca="1" ref="C111" ca="1">IF(SUMPRODUCT(--($D111:$AU111 &lt;&gt; "")),RIGHT(YEAR(TODAY()),2)&amp;"01"&amp;REPT("0",4-LEN(ROW()-11))&amp;ROW()-11,"")</f>
        <v/>
      </c>
      <c r="D111" s="141"/>
      <c r="E111" s="142"/>
      <c r="F111" s="71"/>
      <c r="G111" s="66"/>
      <c r="H111" s="41" t="str">
        <f>IFERROR(VLOOKUP(G111,マスタ!$D$3:$E$55,2,FALSE),"")</f>
        <v/>
      </c>
      <c r="I111" s="93"/>
      <c r="J111" s="77"/>
      <c r="K111" s="66"/>
      <c r="L111" s="103"/>
      <c r="M111" s="71"/>
      <c r="N111" s="101" t="str">
        <f>IF($M111 = $BM$9, $BM$9,
        IF($L111 = "", "",
              IF(OR(
                          AND(OR($G111 = マスタ!$D$54, $G111 = マスタ!$D$55), $L111 &lt;= $BP$9),
                          AND($G111 &lt;&gt; マスタ!$D$54, $G111 &lt;&gt; マスタ!$D$55, $L111 &lt;= $BQ$9)
                         ), $BM$9, $BN$9)))</f>
        <v/>
      </c>
      <c r="O111" s="71"/>
      <c r="P111" s="101" t="str">
        <f t="shared" si="31"/>
        <v/>
      </c>
      <c r="Q111" s="124"/>
      <c r="R111" s="124"/>
      <c r="S111" s="112" t="str">
        <f t="shared" si="41"/>
        <v/>
      </c>
      <c r="T111" s="71"/>
      <c r="U111" s="41" t="str">
        <f>IF($T111=$BM$9, $BM$9,
        IF($S111="", "",
             IF(OR(AND($BL111=マスタ!$C$3, $S111&lt;=$BS$9),
                        AND($BL111=マスタ!$C$4, $S111&lt;=$BT$9),
                        AND(OR($BL111=マスタ!$C$6, $BL111=マスタ!$C$7), $S111&lt;=$BU$9),
                        AND(OR($BL111=マスタ!$C$5, $BL111=マスタ!$C$8), $S111&lt;=$BV$9)),
                  $BM$9, $BN$9)))</f>
        <v/>
      </c>
      <c r="V111" s="129" t="str">
        <f t="shared" si="16"/>
        <v/>
      </c>
      <c r="W111" s="124"/>
      <c r="X111" s="112" t="str">
        <f t="shared" si="42"/>
        <v/>
      </c>
      <c r="Y111" s="71"/>
      <c r="Z111" s="41" t="str">
        <f>IF($Y111=$BM$9, $BM$9,
        IF(AND($T111 = $BM$9, $Y111 = $BO$9), $BN$9,
             IF($BL111=マスタ!$C$3,
                  IF($X111&lt;=$BW$9, $BM$9,$BN$9),
                       IF(OR($BL111=マスタ!$C$4, $BL111=マスタ!$C$5, $BL111=マスタ!$C$6, $BL111=マスタ!$C$7, $BL111=マスタ!$C$8),
                            IF($X111&lt;=$BX$9, $BM$9,$BN$9), ""))))</f>
        <v/>
      </c>
      <c r="AA111" s="71"/>
      <c r="AB111" s="71"/>
      <c r="AC111" s="71"/>
      <c r="AD111" s="165"/>
      <c r="AE111" s="71"/>
      <c r="AF111" s="165"/>
      <c r="AG111" s="92"/>
      <c r="AH111" s="92"/>
      <c r="AI111" s="92"/>
      <c r="AJ111" s="92"/>
      <c r="AK111" s="121"/>
      <c r="AL111" s="121"/>
      <c r="AM111" s="121"/>
      <c r="AN111" s="121"/>
      <c r="AO111" s="92"/>
      <c r="AP111" s="130" t="str">
        <f t="shared" si="5"/>
        <v/>
      </c>
      <c r="AQ111" s="121"/>
      <c r="AR111" s="101" t="str">
        <f>IF(OR(SUMPRODUCT(--(AJ111:AQ111&lt;&gt;""))&lt;7,AND($AJ111=マスタ!$N$3,$AK111="")), "",
        IF($AJ111=マスタ!$N$5, $BO$9,
              IF(OR($F111=マスタ!$C$3, $F111=マスタ!$C$4, $F111=マスタ!$C$5),
                    IF(SUM($AL111,$AM111,$AP111,$AQ111)&gt;=1, $BM$9, $BN$9),
              IF(OR($F111=マスタ!$C$6, $F111=マスタ!$C$7, $F111=マスタ!$C$8),
                    IF($AK111&lt;10, $BO$9,
                          IF(AND(SUM($AL111,$AM111,$AP111,$AQ111)&gt;=($AK111*0.2), $AM111+$AP111+$AQ111&gt;=1),
                               $BM$9,$BN$9))))))</f>
        <v/>
      </c>
      <c r="AS111" s="101" t="str">
        <f>IF(OR(SUMPRODUCT(--(AJ111:AQ111&lt;&gt;""))&lt;7,AND($AJ111=マスタ!$N$3,$AK111="")), "",
     IF($AR111=$BN$9,$BN$9,
        IF($AJ111=マスタ!$N$5, $BO$9,
             IF(OR($F111=マスタ!$C$3, $F111=マスタ!$C$4, $F111=マスタ!$C$5),
                   IF($AQ111&gt;=1, $BM$9, $BN$9),
             IF(OR($F111=マスタ!$C$6, $F111=マスタ!$C$7, $F111=マスタ!$C$8),
                   IF($AK111&lt;5, IF($AQ111&gt;=1, $BM$9, $BN$9),
                         IF(OR($AQ111&gt;=1,
                                    AND(SUM($AL111,$AM111,$AP111,$AQ111)&gt;=$AK111*0.5, ($AM111+$AP111+$AQ111)&gt;=($AK111*0.2))),
                              $BM$9,$BN$9)))))))</f>
        <v/>
      </c>
      <c r="AT111" s="66"/>
      <c r="AU111" s="143"/>
      <c r="AV111" s="98" t="str" cm="1">
        <f t="array" aca="1" ref="AV111" ca="1">IF(AND($F111:$G111&lt;&gt;"", $I111:$K111&lt;&gt;"",
                 IF(OR($M111=$BM$9,$O111=$BM$9), TRUE, $L111&lt;&gt;""),
                 $M111&lt;&gt;"",$O111&lt;&gt;"",
                 IF($T111=$BM$9, TRUE, $Q111:$R111&lt;&gt;""),
                 IF(AND($BL111&lt;&gt;"", $BL111&lt;&gt;マスタ!$C$5, $BL111&lt;&gt;マスタ!$C$8), TRUE, $T111&lt;&gt;""),
                 IF(OR(AND($T111=$BM$9,  $Y111=$BO$9), $Y111=$BM$9), TRUE,$W111&lt;&gt;""),
                 IF(AND($BL111&lt;&gt;"", $BL111&lt;&gt;マスタ!$C$5, $BL111&lt;&gt;マスタ!$C$8), TRUE, $Y111&lt;&gt;""),
                 $AA111&lt;&gt;"",
                 IF($AA111=マスタ!$F$4, TRUE, $AB111&lt;&gt;""),
                 $AG111:$AO111&lt;&gt;"", $AQ111&lt;&gt;"", $AT111&lt;&gt;""),
        "（正常）入力済み", IF($C111= "", "（複数入力）未入力", "（エラー）一部未入力"))</f>
        <v>（複数入力）未入力</v>
      </c>
      <c r="AW111" s="98" t="str">
        <f t="shared" ca="1" si="6"/>
        <v/>
      </c>
      <c r="AX111" s="98" t="str">
        <f t="shared" ca="1" si="32"/>
        <v/>
      </c>
      <c r="AY111" s="98" t="str">
        <f t="shared" ca="1" si="33"/>
        <v/>
      </c>
      <c r="AZ111" s="98" t="str">
        <f t="shared" ca="1" si="34"/>
        <v/>
      </c>
      <c r="BA111" s="98" t="str">
        <f t="shared" ca="1" si="35"/>
        <v/>
      </c>
      <c r="BB111" s="98" t="str">
        <f t="shared" ca="1" si="36"/>
        <v/>
      </c>
      <c r="BC111" s="98" t="str">
        <f t="shared" ca="1" si="37"/>
        <v/>
      </c>
      <c r="BD111" s="98" t="str">
        <f t="shared" ca="1" si="38"/>
        <v/>
      </c>
      <c r="BE111" s="98" t="str">
        <f>IF($BL111="","",
   IF($T111=入力不可用2,
      IF(OR($BL111=マスタ!$C$5,$BL111=マスタ!$C$8), "未入力", "（正常）規定値"),
      IF(OR($BL111=マスタ!$C$5,$BL111=マスタ!$C$8), "（正常）規定値", "（エラー）値入力不可")))</f>
        <v/>
      </c>
      <c r="BF111" s="98" t="str">
        <f ca="1">IF($C111 = "", "",
       IF(AND(OR($BL111=マスタ!$C$5, $BL111=マスタ!$C$8), $T111 = ""), "未入力",
            IF(AND($Y111 = $BM$9, $T111 = $BO$9), "（エラー）「適合」のみ入力可", "（正常）規定値")))</f>
        <v/>
      </c>
      <c r="BG111" s="98" t="str">
        <f t="shared" ca="1" si="39"/>
        <v/>
      </c>
      <c r="BH111" s="98" t="str">
        <f t="shared" ca="1" si="40"/>
        <v/>
      </c>
      <c r="BI111" s="98" t="str">
        <f>IF($BL111="","",
   IF($Y111=入力不可用2,
      IF(OR($BL111=マスタ!$C$5,$BL111=マスタ!$C$8), "未入力", "（正常）規定値"),
      IF(OR($BL111=マスタ!$C$5,$BL111=マスタ!$C$8), "（正常）規定値", "（エラー）値入力不可")))</f>
        <v/>
      </c>
      <c r="BJ111" s="98" t="str">
        <f>IF($AA111="", "",
        IF($AA111=マスタ!$F$3,
             IF($AB111="", "未入力", "（正常）規定値"),
                  IF($AA111=マスタ!$F$4,
                       IF($AB111&lt;&gt;入力不可用2, "（エラー）値入力不可", "（正常）規定値"))))</f>
        <v/>
      </c>
      <c r="BL111" s="75" t="str">
        <f>IF(OR($F111 = マスタ!$C$5, F111 = マスタ!$C$8), $F111,
        IF(AND($F111 = マスタ!$C$3, 'その１事業者基本情報_入力シート（一部非公開）'!$U$16), $F111,
             IF(AND($F111 = マスタ!$C$4, 'その１事業者基本情報_入力シート（一部非公開）'!$S$16), $F111,
                  IF(AND(OR($F111 = マスタ!$C$6, $F111 = マスタ!$C$7),
                                'その１事業者基本情報_入力シート（一部非公開）'!$W$16), $F111,
                       IF(OR($F111 = マスタ!$C$3, $F111=マスタ!$C$4), マスタ!$C$5,
                            IF(OR($F111 = マスタ!$C$6, $F111 = マスタ!$C$7), マスタ!$C$8, ""))))))</f>
        <v/>
      </c>
      <c r="BM111" s="75" t="str">
        <f>IF($L111&lt;&gt;"", $L111,
       IF($M111 = マスタ!$B$3,
          IF(OR($F111=マスタ!$C$3,$F111=マスタ!$C$4,$F111=マスタ!$C$5),
            IF(OR($G111 = マスタ!$D$54, $G111 = マスタ!$D$55), 0.75, 0.87),
            IF(OR($G111 = マスタ!$D$54, $G111 = マスタ!$D$55), 0.62, 0.72)),
                 IF(ISBLANK($L111), "", $L111)))</f>
        <v/>
      </c>
      <c r="BN111" s="99" t="str">
        <f>IF($L111&lt;&gt;"", $L111,
        IF($O111 = マスタ!$B$3,
          IF(OR($F111=マスタ!$C$3,$F111=マスタ!$C$4,$F111=マスタ!$C$5), 0.6, 0.5),
             IF(ISBLANK($L111), "", $L111)))</f>
        <v/>
      </c>
      <c r="BO111" s="99" t="str">
        <f>IF($T111&lt;&gt;マスタ!$B$3,
        IF(ISBLANK($S111),"",$S111),
             IF($BL111=マスタ!$C$3,0.8,
             IF($BL111=マスタ!$C$4,0.85,
             IF($BL111=マスタ!$C$6,0.9,
             IF($BL111=マスタ!$C$7,0.9,
             IF($BL111=マスタ!$C$5,1,
             IF($BL111=マスタ!$C$8,1,"無効な入力")))))))</f>
        <v/>
      </c>
      <c r="BP111" s="99" t="str">
        <f>IF($Y111&lt;&gt;マスタ!$B$3,
   IF(ISBLANK($X111), "", $X111),
   IF($BL111=マスタ!$C$3, 0.75,
      IF($BL111=マスタ!$C$4, 0.8,
         IF($BL111=マスタ!$C$6, 0.8,
            IF($BL111=マスタ!$C$7, 0.8,
               IF($BL111=マスタ!$C$5, 0.8,
                  IF($BL111=マスタ!$C$8, 0.8, "無効な入力")))))))</f>
        <v/>
      </c>
      <c r="BQ111" s="75"/>
      <c r="BR111" s="75"/>
      <c r="BS111" s="75"/>
      <c r="BT111" s="75"/>
      <c r="BU111" s="75"/>
      <c r="BV111" s="75"/>
      <c r="BW111" s="75"/>
      <c r="BX111" s="75"/>
      <c r="BY111" s="75"/>
    </row>
    <row r="112" spans="3:77" ht="30.75" customHeight="1">
      <c r="C112" s="69" t="str" cm="1">
        <f t="array" aca="1" ref="C112" ca="1">IF(SUMPRODUCT(--($D112:$AU112 &lt;&gt; "")),RIGHT(YEAR(TODAY()),2)&amp;"01"&amp;REPT("0",4-LEN(ROW()-11))&amp;ROW()-11,"")</f>
        <v/>
      </c>
      <c r="D112" s="141"/>
      <c r="E112" s="142"/>
      <c r="F112" s="71"/>
      <c r="G112" s="66"/>
      <c r="H112" s="41" t="str">
        <f>IFERROR(VLOOKUP(G112,マスタ!$D$3:$E$55,2,FALSE),"")</f>
        <v/>
      </c>
      <c r="I112" s="93"/>
      <c r="J112" s="77"/>
      <c r="K112" s="66"/>
      <c r="L112" s="103"/>
      <c r="M112" s="71"/>
      <c r="N112" s="101" t="str">
        <f>IF($M112 = $BM$9, $BM$9,
        IF($L112 = "", "",
              IF(OR(
                          AND(OR($G112 = マスタ!$D$54, $G112 = マスタ!$D$55), $L112 &lt;= $BP$9),
                          AND($G112 &lt;&gt; マスタ!$D$54, $G112 &lt;&gt; マスタ!$D$55, $L112 &lt;= $BQ$9)
                         ), $BM$9, $BN$9)))</f>
        <v/>
      </c>
      <c r="O112" s="71"/>
      <c r="P112" s="101" t="str">
        <f t="shared" si="31"/>
        <v/>
      </c>
      <c r="Q112" s="124"/>
      <c r="R112" s="124"/>
      <c r="S112" s="112" t="str">
        <f t="shared" si="41"/>
        <v/>
      </c>
      <c r="T112" s="71"/>
      <c r="U112" s="41" t="str">
        <f>IF($T112=$BM$9, $BM$9,
        IF($S112="", "",
             IF(OR(AND($BL112=マスタ!$C$3, $S112&lt;=$BS$9),
                        AND($BL112=マスタ!$C$4, $S112&lt;=$BT$9),
                        AND(OR($BL112=マスタ!$C$6, $BL112=マスタ!$C$7), $S112&lt;=$BU$9),
                        AND(OR($BL112=マスタ!$C$5, $BL112=マスタ!$C$8), $S112&lt;=$BV$9)),
                  $BM$9, $BN$9)))</f>
        <v/>
      </c>
      <c r="V112" s="129" t="str">
        <f t="shared" si="16"/>
        <v/>
      </c>
      <c r="W112" s="124"/>
      <c r="X112" s="112" t="str">
        <f t="shared" si="42"/>
        <v/>
      </c>
      <c r="Y112" s="71"/>
      <c r="Z112" s="41" t="str">
        <f>IF($Y112=$BM$9, $BM$9,
        IF(AND($T112 = $BM$9, $Y112 = $BO$9), $BN$9,
             IF($BL112=マスタ!$C$3,
                  IF($X112&lt;=$BW$9, $BM$9,$BN$9),
                       IF(OR($BL112=マスタ!$C$4, $BL112=マスタ!$C$5, $BL112=マスタ!$C$6, $BL112=マスタ!$C$7, $BL112=マスタ!$C$8),
                            IF($X112&lt;=$BX$9, $BM$9,$BN$9), ""))))</f>
        <v/>
      </c>
      <c r="AA112" s="71"/>
      <c r="AB112" s="71"/>
      <c r="AC112" s="71"/>
      <c r="AD112" s="165"/>
      <c r="AE112" s="71"/>
      <c r="AF112" s="165"/>
      <c r="AG112" s="92"/>
      <c r="AH112" s="92"/>
      <c r="AI112" s="92"/>
      <c r="AJ112" s="92"/>
      <c r="AK112" s="121"/>
      <c r="AL112" s="121"/>
      <c r="AM112" s="121"/>
      <c r="AN112" s="121"/>
      <c r="AO112" s="92"/>
      <c r="AP112" s="130" t="str">
        <f t="shared" si="5"/>
        <v/>
      </c>
      <c r="AQ112" s="121"/>
      <c r="AR112" s="101" t="str">
        <f>IF(OR(SUMPRODUCT(--(AJ112:AQ112&lt;&gt;""))&lt;7,AND($AJ112=マスタ!$N$3,$AK112="")), "",
        IF($AJ112=マスタ!$N$5, $BO$9,
              IF(OR($F112=マスタ!$C$3, $F112=マスタ!$C$4, $F112=マスタ!$C$5),
                    IF(SUM($AL112,$AM112,$AP112,$AQ112)&gt;=1, $BM$9, $BN$9),
              IF(OR($F112=マスタ!$C$6, $F112=マスタ!$C$7, $F112=マスタ!$C$8),
                    IF($AK112&lt;10, $BO$9,
                          IF(AND(SUM($AL112,$AM112,$AP112,$AQ112)&gt;=($AK112*0.2), $AM112+$AP112+$AQ112&gt;=1),
                               $BM$9,$BN$9))))))</f>
        <v/>
      </c>
      <c r="AS112" s="101" t="str">
        <f>IF(OR(SUMPRODUCT(--(AJ112:AQ112&lt;&gt;""))&lt;7,AND($AJ112=マスタ!$N$3,$AK112="")), "",
     IF($AR112=$BN$9,$BN$9,
        IF($AJ112=マスタ!$N$5, $BO$9,
             IF(OR($F112=マスタ!$C$3, $F112=マスタ!$C$4, $F112=マスタ!$C$5),
                   IF($AQ112&gt;=1, $BM$9, $BN$9),
             IF(OR($F112=マスタ!$C$6, $F112=マスタ!$C$7, $F112=マスタ!$C$8),
                   IF($AK112&lt;5, IF($AQ112&gt;=1, $BM$9, $BN$9),
                         IF(OR($AQ112&gt;=1,
                                    AND(SUM($AL112,$AM112,$AP112,$AQ112)&gt;=$AK112*0.5, ($AM112+$AP112+$AQ112)&gt;=($AK112*0.2))),
                              $BM$9,$BN$9)))))))</f>
        <v/>
      </c>
      <c r="AT112" s="66"/>
      <c r="AU112" s="143"/>
      <c r="AV112" s="98" t="str" cm="1">
        <f t="array" aca="1" ref="AV112" ca="1">IF(AND($F112:$G112&lt;&gt;"", $I112:$K112&lt;&gt;"",
                 IF(OR($M112=$BM$9,$O112=$BM$9), TRUE, $L112&lt;&gt;""),
                 $M112&lt;&gt;"",$O112&lt;&gt;"",
                 IF($T112=$BM$9, TRUE, $Q112:$R112&lt;&gt;""),
                 IF(AND($BL112&lt;&gt;"", $BL112&lt;&gt;マスタ!$C$5, $BL112&lt;&gt;マスタ!$C$8), TRUE, $T112&lt;&gt;""),
                 IF(OR(AND($T112=$BM$9,  $Y112=$BO$9), $Y112=$BM$9), TRUE,$W112&lt;&gt;""),
                 IF(AND($BL112&lt;&gt;"", $BL112&lt;&gt;マスタ!$C$5, $BL112&lt;&gt;マスタ!$C$8), TRUE, $Y112&lt;&gt;""),
                 $AA112&lt;&gt;"",
                 IF($AA112=マスタ!$F$4, TRUE, $AB112&lt;&gt;""),
                 $AG112:$AO112&lt;&gt;"", $AQ112&lt;&gt;"", $AT112&lt;&gt;""),
        "（正常）入力済み", IF($C112= "", "（複数入力）未入力", "（エラー）一部未入力"))</f>
        <v>（複数入力）未入力</v>
      </c>
      <c r="AW112" s="98" t="str">
        <f t="shared" ca="1" si="6"/>
        <v/>
      </c>
      <c r="AX112" s="98" t="str">
        <f t="shared" ca="1" si="32"/>
        <v/>
      </c>
      <c r="AY112" s="98" t="str">
        <f t="shared" ca="1" si="33"/>
        <v/>
      </c>
      <c r="AZ112" s="98" t="str">
        <f t="shared" ca="1" si="34"/>
        <v/>
      </c>
      <c r="BA112" s="98" t="str">
        <f t="shared" ca="1" si="35"/>
        <v/>
      </c>
      <c r="BB112" s="98" t="str">
        <f t="shared" ca="1" si="36"/>
        <v/>
      </c>
      <c r="BC112" s="98" t="str">
        <f t="shared" ca="1" si="37"/>
        <v/>
      </c>
      <c r="BD112" s="98" t="str">
        <f t="shared" ca="1" si="38"/>
        <v/>
      </c>
      <c r="BE112" s="98" t="str">
        <f>IF($BL112="","",
   IF($T112=入力不可用2,
      IF(OR($BL112=マスタ!$C$5,$BL112=マスタ!$C$8), "未入力", "（正常）規定値"),
      IF(OR($BL112=マスタ!$C$5,$BL112=マスタ!$C$8), "（正常）規定値", "（エラー）値入力不可")))</f>
        <v/>
      </c>
      <c r="BF112" s="98" t="str">
        <f ca="1">IF($C112 = "", "",
       IF(AND(OR($BL112=マスタ!$C$5, $BL112=マスタ!$C$8), $T112 = ""), "未入力",
            IF(AND($Y112 = $BM$9, $T112 = $BO$9), "（エラー）「適合」のみ入力可", "（正常）規定値")))</f>
        <v/>
      </c>
      <c r="BG112" s="98" t="str">
        <f t="shared" ca="1" si="39"/>
        <v/>
      </c>
      <c r="BH112" s="98" t="str">
        <f t="shared" ca="1" si="40"/>
        <v/>
      </c>
      <c r="BI112" s="98" t="str">
        <f>IF($BL112="","",
   IF($Y112=入力不可用2,
      IF(OR($BL112=マスタ!$C$5,$BL112=マスタ!$C$8), "未入力", "（正常）規定値"),
      IF(OR($BL112=マスタ!$C$5,$BL112=マスタ!$C$8), "（正常）規定値", "（エラー）値入力不可")))</f>
        <v/>
      </c>
      <c r="BJ112" s="98" t="str">
        <f>IF($AA112="", "",
        IF($AA112=マスタ!$F$3,
             IF($AB112="", "未入力", "（正常）規定値"),
                  IF($AA112=マスタ!$F$4,
                       IF($AB112&lt;&gt;入力不可用2, "（エラー）値入力不可", "（正常）規定値"))))</f>
        <v/>
      </c>
      <c r="BL112" s="75" t="str">
        <f>IF(OR($F112 = マスタ!$C$5, F112 = マスタ!$C$8), $F112,
        IF(AND($F112 = マスタ!$C$3, 'その１事業者基本情報_入力シート（一部非公開）'!$U$16), $F112,
             IF(AND($F112 = マスタ!$C$4, 'その１事業者基本情報_入力シート（一部非公開）'!$S$16), $F112,
                  IF(AND(OR($F112 = マスタ!$C$6, $F112 = マスタ!$C$7),
                                'その１事業者基本情報_入力シート（一部非公開）'!$W$16), $F112,
                       IF(OR($F112 = マスタ!$C$3, $F112=マスタ!$C$4), マスタ!$C$5,
                            IF(OR($F112 = マスタ!$C$6, $F112 = マスタ!$C$7), マスタ!$C$8, ""))))))</f>
        <v/>
      </c>
      <c r="BM112" s="75" t="str">
        <f>IF($L112&lt;&gt;"", $L112,
       IF($M112 = マスタ!$B$3,
          IF(OR($F112=マスタ!$C$3,$F112=マスタ!$C$4,$F112=マスタ!$C$5),
            IF(OR($G112 = マスタ!$D$54, $G112 = マスタ!$D$55), 0.75, 0.87),
            IF(OR($G112 = マスタ!$D$54, $G112 = マスタ!$D$55), 0.62, 0.72)),
                 IF(ISBLANK($L112), "", $L112)))</f>
        <v/>
      </c>
      <c r="BN112" s="99" t="str">
        <f>IF($L112&lt;&gt;"", $L112,
        IF($O112 = マスタ!$B$3,
          IF(OR($F112=マスタ!$C$3,$F112=マスタ!$C$4,$F112=マスタ!$C$5), 0.6, 0.5),
             IF(ISBLANK($L112), "", $L112)))</f>
        <v/>
      </c>
      <c r="BO112" s="99" t="str">
        <f>IF($T112&lt;&gt;マスタ!$B$3,
        IF(ISBLANK($S112),"",$S112),
             IF($BL112=マスタ!$C$3,0.8,
             IF($BL112=マスタ!$C$4,0.85,
             IF($BL112=マスタ!$C$6,0.9,
             IF($BL112=マスタ!$C$7,0.9,
             IF($BL112=マスタ!$C$5,1,
             IF($BL112=マスタ!$C$8,1,"無効な入力")))))))</f>
        <v/>
      </c>
      <c r="BP112" s="99" t="str">
        <f>IF($Y112&lt;&gt;マスタ!$B$3,
   IF(ISBLANK($X112), "", $X112),
   IF($BL112=マスタ!$C$3, 0.75,
      IF($BL112=マスタ!$C$4, 0.8,
         IF($BL112=マスタ!$C$6, 0.8,
            IF($BL112=マスタ!$C$7, 0.8,
               IF($BL112=マスタ!$C$5, 0.8,
                  IF($BL112=マスタ!$C$8, 0.8, "無効な入力")))))))</f>
        <v/>
      </c>
      <c r="BQ112" s="75"/>
      <c r="BR112" s="75"/>
      <c r="BS112" s="75"/>
      <c r="BT112" s="75"/>
      <c r="BU112" s="75"/>
      <c r="BV112" s="75"/>
      <c r="BW112" s="75"/>
      <c r="BX112" s="75"/>
      <c r="BY112" s="75"/>
    </row>
    <row r="113" spans="2:22" ht="30.75" customHeight="1">
      <c r="C113" s="39" t="s">
        <v>398</v>
      </c>
      <c r="D113" s="39"/>
      <c r="U113" s="1" t="str">
        <f>IF($T113=$BM$9, $BM$9,
        IF($S113="", "",
             IF(OR(AND($BL113=マスタ!$C$3, $S113&lt;=$BS$9),
                        AND($BL113=マスタ!$C$4, $S113&lt;=$BT$9),
                        AND(OR($BL113=マスタ!$C$6, $BL113=マスタ!$C$7), $S113&lt;=$BU$9),
                        AND(OR($BL113=マスタ!$C$5, $BL113=マスタ!$C$8), $S113&lt;=$BV$9)),
                  $BM$9, $BN$9)))</f>
        <v/>
      </c>
      <c r="V113" s="1" t="str">
        <f t="shared" si="16"/>
        <v/>
      </c>
    </row>
    <row r="114" spans="2:22">
      <c r="B114" s="1" t="s">
        <v>115</v>
      </c>
      <c r="U114" s="1" t="str">
        <f>IF($T114=$BM$9, $BM$9,
        IF($S114="", "",
             IF(OR(AND($BL114=マスタ!$C$3, $S114&lt;=$BS$9),
                        AND($BL114=マスタ!$C$4, $S114&lt;=$BT$9),
                        AND(OR($BL114=マスタ!$C$6, $BL114=マスタ!$C$7), $S114&lt;=$BU$9),
                        AND(OR($BL114=マスタ!$C$5, $BL114=マスタ!$C$8), $S114&lt;=$BV$9)),
                  $BM$9, $BN$9)))</f>
        <v/>
      </c>
      <c r="V114" s="1" t="str">
        <f t="shared" si="16"/>
        <v/>
      </c>
    </row>
    <row r="115" spans="2:22">
      <c r="U115" s="1" t="str">
        <f>IF($T115=$BM$9, $BM$9,
        IF($S115="", "",
             IF(OR(AND($BL115=マスタ!$C$3, $S115&lt;=$BS$9),
                        AND($BL115=マスタ!$C$4, $S115&lt;=$BT$9),
                        AND(OR($BL115=マスタ!$C$6, $BL115=マスタ!$C$7), $S115&lt;=$BU$9),
                        AND(OR($BL115=マスタ!$C$5, $BL115=マスタ!$C$8), $S115&lt;=$BV$9)),
                  $BM$9, $BN$9)))</f>
        <v/>
      </c>
      <c r="V115" s="1" t="str">
        <f t="shared" si="16"/>
        <v/>
      </c>
    </row>
    <row r="116" spans="2:22">
      <c r="U116" s="1" t="str">
        <f>IF($T116=$BM$9, $BM$9,
        IF($S116="", "",
             IF(OR(AND($BL116=マスタ!$C$3, $S116&lt;=$BS$9),
                        AND($BL116=マスタ!$C$4, $S116&lt;=$BT$9),
                        AND(OR($BL116=マスタ!$C$6, $BL116=マスタ!$C$7), $S116&lt;=$BU$9),
                        AND(OR($BL116=マスタ!$C$5, $BL116=マスタ!$C$8), $S116&lt;=$BV$9)),
                  $BM$9, $BN$9)))</f>
        <v/>
      </c>
      <c r="V116" s="1" t="str">
        <f t="shared" si="16"/>
        <v/>
      </c>
    </row>
    <row r="138" spans="3:4">
      <c r="C138" s="12"/>
      <c r="D138" s="12"/>
    </row>
    <row r="140" spans="3:4">
      <c r="C140" s="12"/>
      <c r="D140" s="12"/>
    </row>
  </sheetData>
  <mergeCells count="42">
    <mergeCell ref="C8:C11"/>
    <mergeCell ref="L3:X3"/>
    <mergeCell ref="E8:K9"/>
    <mergeCell ref="L8:Z8"/>
    <mergeCell ref="M10:M11"/>
    <mergeCell ref="N10:N11"/>
    <mergeCell ref="O10:O11"/>
    <mergeCell ref="P10:P11"/>
    <mergeCell ref="U10:U11"/>
    <mergeCell ref="V10:V11"/>
    <mergeCell ref="W10:W11"/>
    <mergeCell ref="X10:X11"/>
    <mergeCell ref="Y10:Y11"/>
    <mergeCell ref="E10:E11"/>
    <mergeCell ref="D8:D11"/>
    <mergeCell ref="F10:F11"/>
    <mergeCell ref="G10:G11"/>
    <mergeCell ref="L9:P9"/>
    <mergeCell ref="Z10:Z11"/>
    <mergeCell ref="H10:H11"/>
    <mergeCell ref="J10:J11"/>
    <mergeCell ref="K10:K11"/>
    <mergeCell ref="L10:L11"/>
    <mergeCell ref="I10:I11"/>
    <mergeCell ref="Q10:Q11"/>
    <mergeCell ref="R10:R11"/>
    <mergeCell ref="S10:S11"/>
    <mergeCell ref="T10:T11"/>
    <mergeCell ref="AA10:AF10"/>
    <mergeCell ref="AT8:AT11"/>
    <mergeCell ref="Q9:Z9"/>
    <mergeCell ref="AU8:AU11"/>
    <mergeCell ref="L5:X5"/>
    <mergeCell ref="AA8:AI9"/>
    <mergeCell ref="AG10:AI10"/>
    <mergeCell ref="AK10:AK11"/>
    <mergeCell ref="AL10:AQ10"/>
    <mergeCell ref="AR10:AR11"/>
    <mergeCell ref="AS10:AS11"/>
    <mergeCell ref="AN11:AO11"/>
    <mergeCell ref="AJ8:AS9"/>
    <mergeCell ref="AJ10:AJ11"/>
  </mergeCells>
  <phoneticPr fontId="1"/>
  <conditionalFormatting sqref="I12:M40 Q12:T40">
    <cfRule type="expression" dxfId="46" priority="58">
      <formula>#REF!="OFF"</formula>
    </cfRule>
  </conditionalFormatting>
  <conditionalFormatting sqref="O12:O112">
    <cfRule type="expression" dxfId="44" priority="26">
      <formula>#REF!="OFF"</formula>
    </cfRule>
  </conditionalFormatting>
  <conditionalFormatting sqref="V12:X112">
    <cfRule type="expression" dxfId="42" priority="213">
      <formula>OR(AND($T12=$BM$9, $Y12=$BO$9), $Y12=$BM$9)</formula>
    </cfRule>
  </conditionalFormatting>
  <conditionalFormatting sqref="V12:Y25">
    <cfRule type="expression" dxfId="41" priority="205">
      <formula>#REF!="OFF"</formula>
    </cfRule>
  </conditionalFormatting>
  <conditionalFormatting sqref="W22 Q12:S112">
    <cfRule type="expression" dxfId="40" priority="211">
      <formula>$T12=$BM$9</formula>
    </cfRule>
  </conditionalFormatting>
  <conditionalFormatting sqref="AA12:AF40">
    <cfRule type="expression" dxfId="38" priority="4">
      <formula>#REF!="OFF"</formula>
    </cfRule>
  </conditionalFormatting>
  <conditionalFormatting sqref="AA41:AF112">
    <cfRule type="expression" dxfId="37" priority="2">
      <formula>#REF!="OFF"</formula>
    </cfRule>
  </conditionalFormatting>
  <conditionalFormatting sqref="AG12:AO112 D12:G112 AQ12:AQ112 AT12:AU112 V26:Y112 I41:M112 Q41:T112">
    <cfRule type="expression" dxfId="35" priority="32">
      <formula>#REF!="OFF"</formula>
    </cfRule>
  </conditionalFormatting>
  <conditionalFormatting sqref="AV24:AX112">
    <cfRule type="containsText" dxfId="33" priority="8" operator="containsText" text="（注意）">
      <formula>NOT(ISERROR(SEARCH("（注意）",AV24)))</formula>
    </cfRule>
    <cfRule type="containsText" dxfId="32" priority="9" operator="containsText" text="（正常）">
      <formula>NOT(ISERROR(SEARCH("（正常）",AV24)))</formula>
    </cfRule>
    <cfRule type="containsText" dxfId="31" priority="10" operator="containsText" text="（エラー）">
      <formula>NOT(ISERROR(SEARCH("（エラー）",AV24)))</formula>
    </cfRule>
  </conditionalFormatting>
  <conditionalFormatting sqref="AV12:BJ23">
    <cfRule type="containsText" dxfId="30" priority="174" operator="containsText" text="（注意）">
      <formula>NOT(ISERROR(SEARCH("（注意）",AV12)))</formula>
    </cfRule>
    <cfRule type="containsText" dxfId="29" priority="175" operator="containsText" text="（正常）">
      <formula>NOT(ISERROR(SEARCH("（正常）",AV12)))</formula>
    </cfRule>
    <cfRule type="containsText" dxfId="28" priority="176" operator="containsText" text="（エラー）">
      <formula>NOT(ISERROR(SEARCH("（エラー）",AV12)))</formula>
    </cfRule>
  </conditionalFormatting>
  <conditionalFormatting sqref="AW24:BF112 BJ24:BJ112">
    <cfRule type="containsText" dxfId="27" priority="23" operator="containsText" text="（注意）">
      <formula>NOT(ISERROR(SEARCH("（注意）",AW24)))</formula>
    </cfRule>
    <cfRule type="containsText" dxfId="26" priority="24" operator="containsText" text="（正常）">
      <formula>NOT(ISERROR(SEARCH("（正常）",AW24)))</formula>
    </cfRule>
    <cfRule type="containsText" dxfId="25" priority="25" operator="containsText" text="（エラー）">
      <formula>NOT(ISERROR(SEARCH("（エラー）",AW24)))</formula>
    </cfRule>
  </conditionalFormatting>
  <conditionalFormatting sqref="BE24:BF112">
    <cfRule type="containsText" dxfId="24" priority="20" operator="containsText" text="（注意）">
      <formula>NOT(ISERROR(SEARCH("（注意）",BE24)))</formula>
    </cfRule>
    <cfRule type="containsText" dxfId="23" priority="21" operator="containsText" text="（正常）">
      <formula>NOT(ISERROR(SEARCH("（正常）",BE24)))</formula>
    </cfRule>
    <cfRule type="containsText" dxfId="22" priority="22" operator="containsText" text="（エラー）">
      <formula>NOT(ISERROR(SEARCH("（エラー）",BE24)))</formula>
    </cfRule>
  </conditionalFormatting>
  <conditionalFormatting sqref="BE24:BJ112">
    <cfRule type="containsText" dxfId="21" priority="11" operator="containsText" text="（注意）">
      <formula>NOT(ISERROR(SEARCH("（注意）",BE24)))</formula>
    </cfRule>
    <cfRule type="containsText" dxfId="20" priority="12" operator="containsText" text="（正常）">
      <formula>NOT(ISERROR(SEARCH("（正常）",BE24)))</formula>
    </cfRule>
    <cfRule type="containsText" dxfId="19" priority="13" operator="containsText" text="（エラー）">
      <formula>NOT(ISERROR(SEARCH("（エラー）",BE24)))</formula>
    </cfRule>
  </conditionalFormatting>
  <conditionalFormatting sqref="BF12:BF23">
    <cfRule type="containsText" dxfId="18" priority="164" operator="containsText" text="（注意）">
      <formula>NOT(ISERROR(SEARCH("（注意）",BF12)))</formula>
    </cfRule>
    <cfRule type="containsText" dxfId="17" priority="165" operator="containsText" text="（正常）">
      <formula>NOT(ISERROR(SEARCH("（正常）",BF12)))</formula>
    </cfRule>
    <cfRule type="containsText" dxfId="16" priority="166" operator="containsText" text="（エラー）">
      <formula>NOT(ISERROR(SEARCH("（エラー）",BF12)))</formula>
    </cfRule>
  </conditionalFormatting>
  <dataValidations count="15">
    <dataValidation type="list" allowBlank="1" showInputMessage="1" showErrorMessage="1" sqref="F12:F112" xr:uid="{00000000-0002-0000-0500-000000000000}">
      <formula1>住宅区分</formula1>
    </dataValidation>
    <dataValidation type="list" allowBlank="1" showInputMessage="1" showErrorMessage="1" sqref="G12:G112" xr:uid="{00000000-0002-0000-0500-000001000000}">
      <formula1>区市町村</formula1>
    </dataValidation>
    <dataValidation type="decimal" allowBlank="1" showInputMessage="1" showErrorMessage="1" error="0以上2000未満の値を入力してください" sqref="I12:I112" xr:uid="{00000000-0002-0000-0500-000002000000}">
      <formula1>0</formula1>
      <formula2>1999.99</formula2>
    </dataValidation>
    <dataValidation type="list" allowBlank="1" showInputMessage="1" showErrorMessage="1" sqref="AA12:AA112" xr:uid="{00000000-0002-0000-0500-000003000000}">
      <formula1>該当有無区分</formula1>
    </dataValidation>
    <dataValidation type="date" operator="lessThanOrEqual" allowBlank="1" showInputMessage="1" showErrorMessage="1" error="日付を入力してください" sqref="J12:J112" xr:uid="{00000000-0002-0000-0500-000004000000}">
      <formula1>2958465</formula1>
    </dataValidation>
    <dataValidation type="list" allowBlank="1" showInputMessage="1" showErrorMessage="1" sqref="K12:K112" xr:uid="{00000000-0002-0000-0500-000005000000}">
      <formula1>引渡し状況区分</formula1>
    </dataValidation>
    <dataValidation type="list" allowBlank="1" showInputMessage="1" showErrorMessage="1" sqref="O12:O112" xr:uid="{00000000-0002-0000-0500-000006000000}">
      <formula1>適合区分_仕様基準用</formula1>
    </dataValidation>
    <dataValidation type="list" allowBlank="1" showInputMessage="1" showErrorMessage="1" sqref="AT12:AT112" xr:uid="{00000000-0002-0000-0500-000007000000}">
      <formula1>説明実施区分</formula1>
    </dataValidation>
    <dataValidation type="decimal" operator="greaterThanOrEqual" allowBlank="1" showInputMessage="1" showErrorMessage="1" sqref="L12:L112 Q12:R112 AO12:AP112 W12:W112 AG12:AI112" xr:uid="{00000000-0002-0000-0500-000008000000}">
      <formula1>0</formula1>
    </dataValidation>
    <dataValidation type="whole" operator="greaterThanOrEqual" allowBlank="1" showInputMessage="1" showErrorMessage="1" sqref="AQ12:AQ112 AK12:AN112" xr:uid="{00000000-0002-0000-0500-000009000000}">
      <formula1>0</formula1>
    </dataValidation>
    <dataValidation operator="greaterThanOrEqual" allowBlank="1" showInputMessage="1" showErrorMessage="1" sqref="V12:V112" xr:uid="{00000000-0002-0000-0500-00000A000000}"/>
    <dataValidation type="list" allowBlank="1" showInputMessage="1" showErrorMessage="1" sqref="AB12:AB112" xr:uid="{00000000-0002-0000-0500-00000B000000}">
      <formula1>IF($AA12="該当有", 該当事項区分, 入力不可用2)</formula1>
    </dataValidation>
    <dataValidation type="list" allowBlank="1" showInputMessage="1" showErrorMessage="1" sqref="M12:M112" xr:uid="{00000000-0002-0000-0500-00000C000000}">
      <formula1>IF($O12=$BM$9, $BM$9, 適合区分_仕様基準用)</formula1>
    </dataValidation>
    <dataValidation type="list" allowBlank="1" showInputMessage="1" showErrorMessage="1" sqref="AC12:AC112 AE12:AE112" xr:uid="{00000000-0002-0000-0500-00000D000000}">
      <formula1>IF($AA12="該当有", 屋根区分, 入力不可用2)</formula1>
    </dataValidation>
    <dataValidation type="list" operator="greaterThanOrEqual" allowBlank="1" showInputMessage="1" showErrorMessage="1" sqref="AJ12:AJ112" xr:uid="{00000000-0002-0000-0500-00000E000000}">
      <formula1>駐車施設の区画の有無</formula1>
    </dataValidation>
  </dataValidations>
  <hyperlinks>
    <hyperlink ref="AW11" location="'その４建物別情報（住宅）_入力シート（非公開）'!I11" display="延べ面積" xr:uid="{00000000-0004-0000-0500-000000000000}"/>
    <hyperlink ref="AY11" location="'その４建物別情報（住宅）_入力シート（非公開）'!L11" display="外皮平均熱貫流率（ＵＡ値）" xr:uid="{00000000-0004-0000-0500-000001000000}"/>
    <hyperlink ref="BA11" location="'その４建物別情報（住宅）_入力シート（非公開）'!Q11" display="基準一次エネルギー消費量" xr:uid="{00000000-0004-0000-0500-000002000000}"/>
    <hyperlink ref="BB11" location="'その４建物別情報（住宅）_入力シート（非公開）'!Q11" display="基準一次エネルギー消費量" xr:uid="{00000000-0004-0000-0500-000003000000}"/>
    <hyperlink ref="BC11" location="'その４建物別情報（住宅）_入力シート（非公開）'!R11" display="設計一次エネルギー消費量" xr:uid="{00000000-0004-0000-0500-000004000000}"/>
    <hyperlink ref="BD11" location="'その４建物別情報（住宅）_入力シート（非公開）'!R11" display="設計一次エネルギー消費量" xr:uid="{00000000-0004-0000-0500-000005000000}"/>
    <hyperlink ref="BE11" location="'その４建物別情報（住宅）_入力シート（非公開）'!T11" display="BEI住宅仕様基準への適合" xr:uid="{00000000-0004-0000-0500-000006000000}"/>
    <hyperlink ref="BI11" location="'その４建物別情報（住宅）_入力シート（非公開）'!Y11" display="BEI住宅誘導仕様基準への適合" xr:uid="{00000000-0004-0000-0500-000007000000}"/>
    <hyperlink ref="BG11" location="'その４建物別情報（住宅）_入力シート（非公開）'!W11" display="誘導設計一次エネルギー消費量" xr:uid="{00000000-0004-0000-0500-000008000000}"/>
    <hyperlink ref="BH11" location="'その４建物別情報（住宅）_入力シート（非公開）'!W11" display="誘導設計一次エネルギー消費量" xr:uid="{00000000-0004-0000-0500-000009000000}"/>
    <hyperlink ref="BJ11" location="'その４建物別情報（住宅）_入力シート（非公開）'!AB11" display="該当事項" xr:uid="{00000000-0004-0000-0500-00000A000000}"/>
    <hyperlink ref="AX11" location="'その４建物別情報（住宅）_入力シート（非公開）'!L11" display="外皮平均熱貫流率（ＵＡ値）" xr:uid="{00000000-0004-0000-0500-00000B000000}"/>
    <hyperlink ref="AZ11" location="'その４建物別情報（住宅）_入力シート（非公開）'!M11" display="住宅仕様基準への適合" xr:uid="{00000000-0004-0000-0500-00000C000000}"/>
    <hyperlink ref="BF11" location="'その４建物別情報（住宅）_入力シート（非公開）'!T11" display="BEI住宅仕様基準への適合" xr:uid="{00000000-0004-0000-0500-00000D000000}"/>
  </hyperlinks>
  <pageMargins left="0.51181102362204722" right="0.70866141732283472" top="0.74803149606299213" bottom="0.74803149606299213" header="0.31496062992125984" footer="0.31496062992125984"/>
  <pageSetup paperSize="8" scale="16" fitToHeight="0" orientation="landscape" horizontalDpi="300" verticalDpi="3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5" id="{481B7CB5-E2A3-47DB-A5F6-203E266FD21B}">
            <xm:f>OR($M12=マスタ!$B$3, $O12=マスタ!$B$3)</xm:f>
            <x14:dxf>
              <fill>
                <patternFill>
                  <bgColor theme="0" tint="-0.24994659260841701"/>
                </patternFill>
              </fill>
            </x14:dxf>
          </x14:cfRule>
          <xm:sqref>L12:L112</xm:sqref>
        </x14:conditionalFormatting>
        <x14:conditionalFormatting xmlns:xm="http://schemas.microsoft.com/office/excel/2006/main">
          <x14:cfRule type="expression" priority="53" id="{728EF5D8-F58F-40FA-8269-C7C02AF290F7}">
            <xm:f>AND($BL12&lt;&gt;"", $BL12&lt;&gt;マスタ!$C$5, $BL12&lt;&gt;マスタ!$C$8)</xm:f>
            <x14:dxf>
              <fill>
                <patternFill>
                  <bgColor theme="0" tint="-0.24994659260841701"/>
                </patternFill>
              </fill>
            </x14:dxf>
          </x14:cfRule>
          <xm:sqref>T12:T112</xm:sqref>
        </x14:conditionalFormatting>
        <x14:conditionalFormatting xmlns:xm="http://schemas.microsoft.com/office/excel/2006/main">
          <x14:cfRule type="expression" priority="161" id="{7AC9AC5E-C9FB-40FE-85DE-200762A0875E}">
            <xm:f>AND($BL12&lt;&gt;"", $BL12&lt;&gt;マスタ!$C$5, $BL12&lt;&gt;マスタ!$C$8)</xm:f>
            <x14:dxf>
              <fill>
                <patternFill>
                  <bgColor theme="0" tint="-0.24994659260841701"/>
                </patternFill>
              </fill>
            </x14:dxf>
          </x14:cfRule>
          <xm:sqref>Y12:Y112</xm:sqref>
        </x14:conditionalFormatting>
        <x14:conditionalFormatting xmlns:xm="http://schemas.microsoft.com/office/excel/2006/main">
          <x14:cfRule type="expression" priority="3" id="{4A391F29-DDBB-4D1E-A253-DC54B6AAC9A0}">
            <xm:f>$AA12=マスタ!$F$4</xm:f>
            <x14:dxf>
              <fill>
                <patternFill>
                  <bgColor theme="0" tint="-0.24994659260841701"/>
                </patternFill>
              </fill>
            </x14:dxf>
          </x14:cfRule>
          <xm:sqref>AB12:AF112</xm:sqref>
        </x14:conditionalFormatting>
        <x14:conditionalFormatting xmlns:xm="http://schemas.microsoft.com/office/excel/2006/main">
          <x14:cfRule type="expression" priority="1" id="{BD966CE7-D5FC-47A1-A723-7D08A05AD938}">
            <xm:f>OR($AJ12=マスタ!$N$4,$AJ12=マスタ!$N$5)</xm:f>
            <x14:dxf>
              <fill>
                <patternFill>
                  <bgColor theme="2" tint="-9.9948118533890809E-2"/>
                </patternFill>
              </fill>
            </x14:dxf>
          </x14:cfRule>
          <xm:sqref>AK12:AK112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F000000}">
          <x14:formula1>
            <xm:f>IF(OR($BL12=マスタ!$C$5, $BL12=マスタ!$C$8), 適合区分_仕様基準用, 入力不可用2)</xm:f>
          </x14:formula1>
          <xm:sqref>Y12:Y112</xm:sqref>
        </x14:dataValidation>
        <x14:dataValidation type="list" allowBlank="1" showInputMessage="1" showErrorMessage="1" xr:uid="{00000000-0002-0000-0500-000010000000}">
          <x14:formula1>
            <xm:f>IF(OR($BL12=マスタ!$C$5, $BL12=マスタ!$C$8),IF($Y12=$BM$9, $BM$9, 適合区分_仕様基準用), 入力不可用2)</xm:f>
          </x14:formula1>
          <xm:sqref>T12:T112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4" tint="0.59999389629810485"/>
  </sheetPr>
  <dimension ref="B1:BP69"/>
  <sheetViews>
    <sheetView zoomScale="55" zoomScaleNormal="55" workbookViewId="0">
      <pane xSplit="12" ySplit="11" topLeftCell="M12" activePane="bottomRight" state="frozen"/>
      <selection pane="topRight"/>
      <selection pane="bottomLeft"/>
      <selection pane="bottomRight" activeCell="K12" sqref="K12"/>
    </sheetView>
  </sheetViews>
  <sheetFormatPr defaultColWidth="9" defaultRowHeight="13.5"/>
  <cols>
    <col min="1" max="1" width="1.5" style="1" customWidth="1"/>
    <col min="2" max="2" width="3" style="1" customWidth="1"/>
    <col min="3" max="3" width="12.5" style="1" customWidth="1"/>
    <col min="4" max="5" width="12.625" style="1" customWidth="1"/>
    <col min="6" max="6" width="15" style="1" customWidth="1"/>
    <col min="7" max="7" width="20.75" style="1" customWidth="1"/>
    <col min="8" max="10" width="15" style="1" customWidth="1"/>
    <col min="11" max="11" width="19.75" style="1" bestFit="1" customWidth="1"/>
    <col min="12" max="12" width="12.625" style="1" customWidth="1"/>
    <col min="13" max="13" width="11" style="1" customWidth="1"/>
    <col min="14" max="14" width="15.125" style="1" customWidth="1"/>
    <col min="15" max="15" width="16" style="1" customWidth="1"/>
    <col min="16" max="22" width="14.75" style="1" customWidth="1"/>
    <col min="23" max="23" width="16.125" style="1" customWidth="1"/>
    <col min="24" max="24" width="15" style="1" customWidth="1"/>
    <col min="25" max="25" width="18.625" style="1" customWidth="1"/>
    <col min="26" max="29" width="20.25" style="1" customWidth="1"/>
    <col min="30" max="33" width="15" style="1" customWidth="1"/>
    <col min="34" max="34" width="11.625" style="1" customWidth="1"/>
    <col min="35" max="35" width="13" style="1" customWidth="1"/>
    <col min="36" max="36" width="15.25" style="1" customWidth="1"/>
    <col min="37" max="37" width="13" style="1" customWidth="1"/>
    <col min="38" max="39" width="11.75" style="1" customWidth="1"/>
    <col min="40" max="41" width="13" style="1" customWidth="1"/>
    <col min="42" max="42" width="16" style="1" customWidth="1"/>
    <col min="43" max="43" width="14" style="1" customWidth="1"/>
    <col min="44" max="44" width="48" style="1" customWidth="1"/>
    <col min="45" max="45" width="3.125" style="1" bestFit="1" customWidth="1"/>
    <col min="46" max="46" width="19.625" style="1" hidden="1" customWidth="1"/>
    <col min="47" max="48" width="19.75" style="1" hidden="1" customWidth="1"/>
    <col min="49" max="53" width="22.875" style="1" hidden="1" customWidth="1"/>
    <col min="54" max="54" width="16.75" style="1" hidden="1" customWidth="1"/>
    <col min="55" max="55" width="9" style="1"/>
    <col min="56" max="56" width="15.75" style="1" hidden="1" customWidth="1"/>
    <col min="57" max="61" width="9" style="1" hidden="1" customWidth="1"/>
    <col min="62" max="16384" width="9" style="1"/>
  </cols>
  <sheetData>
    <row r="1" spans="2:68" ht="18.75">
      <c r="B1" s="39" t="s">
        <v>116</v>
      </c>
      <c r="C1" s="30"/>
      <c r="D1" s="30"/>
      <c r="E1" s="30"/>
      <c r="F1" s="30"/>
      <c r="H1" s="11"/>
      <c r="AN1" s="23"/>
      <c r="AO1" s="23"/>
      <c r="AP1" s="23"/>
      <c r="AR1" s="163"/>
    </row>
    <row r="2" spans="2:68" ht="9" customHeight="1">
      <c r="B2" s="30"/>
      <c r="C2" s="30"/>
      <c r="D2" s="30"/>
      <c r="E2" s="30"/>
      <c r="F2" s="30"/>
      <c r="AT2" s="125" t="str">
        <f ca="1">IF(AT3="","",AT3&amp;CHAR(10))&amp;IF(AU3="","",AU3&amp;CHAR(10))&amp;IF(AV3="","",AU3&amp;CHAR(10))&amp;IF(AW3="","",AW3&amp;CHAR(10))&amp;IF(AX3="","",AX3&amp;CHAR(10))&amp;IF(AY3="","",AY3&amp;CHAR(10))&amp;IF(AZ3="","",AZ3&amp;CHAR(10)) &amp;                                                                                                                                                                                                                                                               IF(BA3="","",BA3&amp;CHAR(10))&amp;IF(BB3="","",BB3)</f>
        <v xml:space="preserve">必須入力項目に未入力が1件あります
</v>
      </c>
      <c r="AV2" s="125"/>
      <c r="AW2" s="125"/>
      <c r="AX2" s="125"/>
      <c r="AY2" s="125"/>
      <c r="AZ2" s="125"/>
      <c r="BA2" s="125"/>
      <c r="BB2" s="125"/>
    </row>
    <row r="3" spans="2:68" ht="24" customHeight="1">
      <c r="B3" s="30" t="s">
        <v>96</v>
      </c>
      <c r="C3" s="30"/>
      <c r="D3" s="30"/>
      <c r="E3" s="30"/>
      <c r="F3" s="30"/>
      <c r="M3" s="7"/>
      <c r="N3" s="7"/>
      <c r="O3" s="7"/>
      <c r="P3" s="7"/>
      <c r="Q3" s="7"/>
      <c r="R3" s="7"/>
      <c r="S3" s="7"/>
      <c r="T3" s="7"/>
      <c r="U3" s="7"/>
      <c r="V3" s="7"/>
      <c r="W3" s="7"/>
      <c r="AT3" s="125" t="str">
        <f ca="1">IF(AT4&lt;&gt;0,AT11&amp;"に未入力が"&amp;AT4&amp;"件あります","")</f>
        <v>必須入力項目に未入力が1件あります</v>
      </c>
      <c r="AU3" s="125" t="str">
        <f ca="1">IF(AU4&lt;&gt;0,AU11&amp;"の入力不可セルに"&amp;AU4&amp;"件入力されています","")</f>
        <v/>
      </c>
      <c r="AV3" s="125" t="str">
        <f t="shared" ref="AV3:BA3" ca="1" si="0">IF(AV4&lt;&gt;0,AV11&amp;"に小数桁数エラーが"&amp;AV4&amp;"件あります","")</f>
        <v/>
      </c>
      <c r="AW3" s="125" t="str">
        <f t="shared" ca="1" si="0"/>
        <v/>
      </c>
      <c r="AX3" s="125" t="str">
        <f t="shared" ca="1" si="0"/>
        <v/>
      </c>
      <c r="AY3" s="125" t="str">
        <f t="shared" ca="1" si="0"/>
        <v/>
      </c>
      <c r="AZ3" s="125" t="str">
        <f t="shared" ca="1" si="0"/>
        <v/>
      </c>
      <c r="BA3" s="125" t="str">
        <f t="shared" ca="1" si="0"/>
        <v/>
      </c>
      <c r="BB3" s="125" t="str">
        <f>IF(BB4&lt;&gt;0,BB11&amp;"の入力不可セルに"&amp;BB4&amp;"件入力されています","")</f>
        <v/>
      </c>
    </row>
    <row r="4" spans="2:68" ht="24" customHeight="1">
      <c r="B4" s="31" t="s">
        <v>117</v>
      </c>
      <c r="C4" s="30"/>
      <c r="D4" s="30"/>
      <c r="E4" s="30"/>
      <c r="F4" s="30"/>
      <c r="M4" s="7"/>
      <c r="N4" s="7"/>
      <c r="O4" s="7"/>
      <c r="P4" s="7"/>
      <c r="Q4" s="7"/>
      <c r="R4" s="7"/>
      <c r="S4" s="7"/>
      <c r="T4" s="7"/>
      <c r="U4" s="7"/>
      <c r="V4" s="7"/>
      <c r="W4" s="7"/>
      <c r="AH4" s="1" t="s">
        <v>115</v>
      </c>
      <c r="AT4" s="125">
        <f ca="1">COUNTIF(AT11:AT1011,"*エラー*")</f>
        <v>1</v>
      </c>
      <c r="AU4" s="125">
        <f t="shared" ref="AU4:BB4" ca="1" si="1">COUNTIF(AU11:AU1011,"*エラー*")</f>
        <v>0</v>
      </c>
      <c r="AV4" s="125">
        <f t="shared" ca="1" si="1"/>
        <v>0</v>
      </c>
      <c r="AW4" s="125">
        <f t="shared" ca="1" si="1"/>
        <v>0</v>
      </c>
      <c r="AX4" s="125">
        <f t="shared" ca="1" si="1"/>
        <v>0</v>
      </c>
      <c r="AY4" s="125">
        <f t="shared" ca="1" si="1"/>
        <v>0</v>
      </c>
      <c r="AZ4" s="125">
        <f t="shared" ca="1" si="1"/>
        <v>0</v>
      </c>
      <c r="BA4" s="125">
        <f t="shared" ca="1" si="1"/>
        <v>0</v>
      </c>
      <c r="BB4" s="125">
        <f t="shared" si="1"/>
        <v>0</v>
      </c>
    </row>
    <row r="5" spans="2:68" ht="6" customHeight="1">
      <c r="B5" s="31"/>
      <c r="C5" s="30"/>
      <c r="D5" s="30"/>
      <c r="E5" s="30"/>
      <c r="F5" s="30"/>
      <c r="M5" s="7"/>
      <c r="N5" s="7"/>
      <c r="O5" s="7"/>
      <c r="P5" s="7"/>
      <c r="Q5" s="7"/>
      <c r="R5" s="7"/>
      <c r="S5" s="7"/>
      <c r="T5" s="7"/>
      <c r="U5" s="7"/>
      <c r="V5" s="7"/>
      <c r="W5" s="7"/>
      <c r="AD5" s="7"/>
      <c r="AE5" s="7"/>
    </row>
    <row r="6" spans="2:68" ht="22.15" customHeight="1">
      <c r="B6" s="31"/>
      <c r="C6" s="30"/>
      <c r="D6" s="30"/>
      <c r="E6" s="30"/>
      <c r="F6" s="30"/>
      <c r="M6" s="7"/>
      <c r="N6" s="7"/>
      <c r="O6" s="7"/>
      <c r="P6" s="7"/>
      <c r="Q6" s="7"/>
      <c r="R6" s="7"/>
      <c r="S6" s="7"/>
      <c r="T6" s="7"/>
      <c r="U6" s="7"/>
      <c r="V6" s="7"/>
      <c r="W6" s="7"/>
      <c r="AD6" s="7"/>
      <c r="AE6" s="7"/>
    </row>
    <row r="7" spans="2:68" ht="6" customHeight="1">
      <c r="B7" s="31"/>
      <c r="C7" s="30"/>
      <c r="D7" s="30"/>
      <c r="E7" s="30"/>
      <c r="F7" s="30"/>
      <c r="AD7" s="7"/>
      <c r="AE7" s="7"/>
    </row>
    <row r="8" spans="2:68" ht="24" customHeight="1">
      <c r="C8" s="303" t="s">
        <v>98</v>
      </c>
      <c r="D8" s="290" t="s">
        <v>156</v>
      </c>
      <c r="E8" s="322" t="s">
        <v>412</v>
      </c>
      <c r="F8" s="316" t="s">
        <v>99</v>
      </c>
      <c r="G8" s="317"/>
      <c r="H8" s="317"/>
      <c r="I8" s="317"/>
      <c r="J8" s="317"/>
      <c r="K8" s="317"/>
      <c r="L8" s="318"/>
      <c r="M8" s="287" t="s">
        <v>100</v>
      </c>
      <c r="N8" s="288"/>
      <c r="O8" s="288"/>
      <c r="P8" s="288"/>
      <c r="Q8" s="288"/>
      <c r="R8" s="288"/>
      <c r="S8" s="288"/>
      <c r="T8" s="288"/>
      <c r="U8" s="288"/>
      <c r="V8" s="288"/>
      <c r="W8" s="289"/>
      <c r="X8" s="294" t="s">
        <v>118</v>
      </c>
      <c r="Y8" s="295"/>
      <c r="Z8" s="295"/>
      <c r="AA8" s="295"/>
      <c r="AB8" s="295"/>
      <c r="AC8" s="295"/>
      <c r="AD8" s="295"/>
      <c r="AE8" s="295"/>
      <c r="AF8" s="296"/>
      <c r="AG8" s="328" t="s">
        <v>102</v>
      </c>
      <c r="AH8" s="329"/>
      <c r="AI8" s="329"/>
      <c r="AJ8" s="329"/>
      <c r="AK8" s="329"/>
      <c r="AL8" s="329"/>
      <c r="AM8" s="329"/>
      <c r="AN8" s="329"/>
      <c r="AO8" s="329"/>
      <c r="AP8" s="330"/>
      <c r="AQ8" s="284" t="s">
        <v>327</v>
      </c>
      <c r="AR8" s="322" t="s">
        <v>150</v>
      </c>
      <c r="BE8" s="117" t="s">
        <v>313</v>
      </c>
      <c r="BF8" s="118"/>
      <c r="BG8" s="74"/>
      <c r="BH8" s="117" t="s">
        <v>320</v>
      </c>
      <c r="BI8" s="41" t="s">
        <v>337</v>
      </c>
    </row>
    <row r="9" spans="2:68" ht="53.25" customHeight="1">
      <c r="C9" s="315"/>
      <c r="D9" s="291"/>
      <c r="E9" s="322"/>
      <c r="F9" s="319"/>
      <c r="G9" s="320"/>
      <c r="H9" s="320"/>
      <c r="I9" s="320"/>
      <c r="J9" s="320"/>
      <c r="K9" s="320"/>
      <c r="L9" s="321"/>
      <c r="M9" s="323" t="s">
        <v>103</v>
      </c>
      <c r="N9" s="324"/>
      <c r="O9" s="325"/>
      <c r="P9" s="326" t="s">
        <v>104</v>
      </c>
      <c r="Q9" s="327"/>
      <c r="R9" s="327"/>
      <c r="S9" s="327"/>
      <c r="T9" s="327"/>
      <c r="U9" s="327"/>
      <c r="V9" s="327"/>
      <c r="W9" s="32"/>
      <c r="X9" s="297"/>
      <c r="Y9" s="298"/>
      <c r="Z9" s="298"/>
      <c r="AA9" s="298"/>
      <c r="AB9" s="298"/>
      <c r="AC9" s="298"/>
      <c r="AD9" s="298"/>
      <c r="AE9" s="298"/>
      <c r="AF9" s="299"/>
      <c r="AG9" s="331"/>
      <c r="AH9" s="332"/>
      <c r="AI9" s="332"/>
      <c r="AJ9" s="332"/>
      <c r="AK9" s="332"/>
      <c r="AL9" s="332"/>
      <c r="AM9" s="332"/>
      <c r="AN9" s="332"/>
      <c r="AO9" s="332"/>
      <c r="AP9" s="333"/>
      <c r="AQ9" s="285"/>
      <c r="AR9" s="322"/>
      <c r="BD9" s="41" t="s">
        <v>323</v>
      </c>
      <c r="BE9" s="113" t="s">
        <v>307</v>
      </c>
      <c r="BF9" s="115" t="s">
        <v>193</v>
      </c>
      <c r="BG9" s="116" t="s">
        <v>136</v>
      </c>
      <c r="BH9" s="113">
        <v>1</v>
      </c>
      <c r="BI9" s="41">
        <v>1</v>
      </c>
    </row>
    <row r="10" spans="2:68" ht="24" customHeight="1">
      <c r="C10" s="315"/>
      <c r="D10" s="291"/>
      <c r="E10" s="322"/>
      <c r="F10" s="290" t="s">
        <v>332</v>
      </c>
      <c r="G10" s="310" t="s">
        <v>119</v>
      </c>
      <c r="H10" s="310" t="s">
        <v>106</v>
      </c>
      <c r="I10" s="310" t="s">
        <v>107</v>
      </c>
      <c r="J10" s="310" t="s">
        <v>293</v>
      </c>
      <c r="K10" s="310" t="s">
        <v>358</v>
      </c>
      <c r="L10" s="310" t="s">
        <v>357</v>
      </c>
      <c r="M10" s="303" t="s">
        <v>320</v>
      </c>
      <c r="N10" s="303" t="s">
        <v>359</v>
      </c>
      <c r="O10" s="303" t="s">
        <v>360</v>
      </c>
      <c r="P10" s="303" t="s">
        <v>345</v>
      </c>
      <c r="Q10" s="303" t="s">
        <v>346</v>
      </c>
      <c r="R10" s="310" t="s">
        <v>45</v>
      </c>
      <c r="S10" s="303" t="s">
        <v>359</v>
      </c>
      <c r="T10" s="303" t="s">
        <v>355</v>
      </c>
      <c r="U10" s="303" t="s">
        <v>356</v>
      </c>
      <c r="V10" s="310" t="s">
        <v>372</v>
      </c>
      <c r="W10" s="303" t="s">
        <v>360</v>
      </c>
      <c r="X10" s="300" t="s">
        <v>110</v>
      </c>
      <c r="Y10" s="301"/>
      <c r="Z10" s="301"/>
      <c r="AA10" s="301"/>
      <c r="AB10" s="301"/>
      <c r="AC10" s="302"/>
      <c r="AD10" s="300" t="s">
        <v>111</v>
      </c>
      <c r="AE10" s="301"/>
      <c r="AF10" s="302"/>
      <c r="AG10" s="308" t="s">
        <v>413</v>
      </c>
      <c r="AH10" s="303" t="s">
        <v>364</v>
      </c>
      <c r="AI10" s="305" t="s">
        <v>112</v>
      </c>
      <c r="AJ10" s="306"/>
      <c r="AK10" s="306"/>
      <c r="AL10" s="306"/>
      <c r="AM10" s="306"/>
      <c r="AN10" s="307"/>
      <c r="AO10" s="303" t="s">
        <v>456</v>
      </c>
      <c r="AP10" s="303" t="s">
        <v>360</v>
      </c>
      <c r="AQ10" s="285"/>
      <c r="AR10" s="322"/>
      <c r="AS10" s="122"/>
      <c r="AT10" s="97" t="s">
        <v>389</v>
      </c>
      <c r="AU10" s="97" t="s">
        <v>342</v>
      </c>
      <c r="AV10" s="97" t="s">
        <v>331</v>
      </c>
      <c r="AW10" s="97" t="s">
        <v>331</v>
      </c>
      <c r="AX10" s="97" t="s">
        <v>331</v>
      </c>
      <c r="AY10" s="97" t="s">
        <v>331</v>
      </c>
      <c r="AZ10" s="97" t="s">
        <v>331</v>
      </c>
      <c r="BA10" s="97" t="s">
        <v>331</v>
      </c>
      <c r="BB10" s="97" t="s">
        <v>342</v>
      </c>
      <c r="BC10" s="123"/>
      <c r="BD10" s="30" t="s">
        <v>276</v>
      </c>
      <c r="BE10" s="30"/>
      <c r="BF10" s="30"/>
      <c r="BG10" s="30"/>
      <c r="BH10" s="30"/>
      <c r="BI10" s="30"/>
      <c r="BJ10" s="30"/>
      <c r="BK10" s="30"/>
      <c r="BL10" s="30"/>
      <c r="BM10" s="30"/>
      <c r="BN10" s="30"/>
      <c r="BO10" s="30"/>
      <c r="BP10" s="30"/>
    </row>
    <row r="11" spans="2:68" ht="99" customHeight="1">
      <c r="C11" s="304"/>
      <c r="D11" s="292"/>
      <c r="E11" s="322"/>
      <c r="F11" s="292"/>
      <c r="G11" s="311"/>
      <c r="H11" s="311"/>
      <c r="I11" s="311"/>
      <c r="J11" s="311"/>
      <c r="K11" s="311"/>
      <c r="L11" s="311"/>
      <c r="M11" s="304"/>
      <c r="N11" s="304"/>
      <c r="O11" s="304"/>
      <c r="P11" s="304"/>
      <c r="Q11" s="304"/>
      <c r="R11" s="311"/>
      <c r="S11" s="304"/>
      <c r="T11" s="304"/>
      <c r="U11" s="304"/>
      <c r="V11" s="311"/>
      <c r="W11" s="304"/>
      <c r="X11" s="33" t="s">
        <v>113</v>
      </c>
      <c r="Y11" s="33" t="s">
        <v>363</v>
      </c>
      <c r="Z11" s="166" t="s">
        <v>403</v>
      </c>
      <c r="AA11" s="166" t="s">
        <v>404</v>
      </c>
      <c r="AB11" s="166" t="s">
        <v>410</v>
      </c>
      <c r="AC11" s="166" t="s">
        <v>411</v>
      </c>
      <c r="AD11" s="33" t="s">
        <v>354</v>
      </c>
      <c r="AE11" s="33" t="s">
        <v>347</v>
      </c>
      <c r="AF11" s="33" t="s">
        <v>348</v>
      </c>
      <c r="AG11" s="309"/>
      <c r="AH11" s="304"/>
      <c r="AI11" s="33" t="s">
        <v>349</v>
      </c>
      <c r="AJ11" s="33" t="s">
        <v>365</v>
      </c>
      <c r="AK11" s="300" t="s">
        <v>366</v>
      </c>
      <c r="AL11" s="302"/>
      <c r="AM11" s="127" t="s">
        <v>383</v>
      </c>
      <c r="AN11" s="56" t="s">
        <v>350</v>
      </c>
      <c r="AO11" s="304"/>
      <c r="AP11" s="304"/>
      <c r="AQ11" s="286"/>
      <c r="AR11" s="322"/>
      <c r="AT11" s="131" t="s">
        <v>390</v>
      </c>
      <c r="AU11" s="134" t="s">
        <v>343</v>
      </c>
      <c r="AV11" s="134" t="s">
        <v>320</v>
      </c>
      <c r="AW11" s="133" t="s">
        <v>352</v>
      </c>
      <c r="AX11" s="133" t="s">
        <v>351</v>
      </c>
      <c r="AY11" s="133" t="s">
        <v>384</v>
      </c>
      <c r="AZ11" s="133" t="s">
        <v>356</v>
      </c>
      <c r="BA11" s="133" t="s">
        <v>385</v>
      </c>
      <c r="BB11" s="134" t="s">
        <v>344</v>
      </c>
      <c r="BC11" s="123"/>
      <c r="BD11" s="76" t="s">
        <v>373</v>
      </c>
      <c r="BE11" s="30"/>
      <c r="BF11" s="30"/>
      <c r="BG11" s="30"/>
      <c r="BH11" s="30"/>
      <c r="BI11" s="30"/>
      <c r="BJ11" s="30"/>
      <c r="BK11" s="30"/>
      <c r="BL11" s="30"/>
      <c r="BM11" s="30"/>
      <c r="BN11" s="30"/>
      <c r="BO11" s="30"/>
      <c r="BP11" s="30"/>
    </row>
    <row r="12" spans="2:68" ht="30" customHeight="1">
      <c r="C12" s="69" t="str" cm="1">
        <f t="array" aca="1" ref="C12" ca="1">IF(SUMPRODUCT(--($D12:$AR12 &lt;&gt; "")),RIGHT(YEAR(TODAY()),2)&amp;"02"&amp;REPT("0",4-LEN(ROW()-11))&amp;ROW()-11,"")</f>
        <v>25020001</v>
      </c>
      <c r="D12" s="141"/>
      <c r="E12" s="141"/>
      <c r="F12" s="141"/>
      <c r="G12" s="71" t="s">
        <v>183</v>
      </c>
      <c r="H12" s="66"/>
      <c r="I12" s="41" t="str">
        <f>IFERROR(VLOOKUP(H12,マスタ!$D$3:$E$55,2,FALSE),"")</f>
        <v/>
      </c>
      <c r="J12" s="93">
        <v>50</v>
      </c>
      <c r="K12" s="77"/>
      <c r="L12" s="66"/>
      <c r="M12" s="137"/>
      <c r="N12" s="101" t="str">
        <f>IF($G12=マスタ!$J$11, $BG$9,
        IF($M12="", "",
             IF($M12&lt;=$BH$9, $BE$9, $BF$9)))</f>
        <v/>
      </c>
      <c r="O12" s="101" t="str">
        <f>IF($G12=マスタ!$J$11, $BG$9,
        IF($M12="", "",
             IF($M12&lt;=$BH$9, $BE$9, $BF$9)))</f>
        <v/>
      </c>
      <c r="P12" s="138"/>
      <c r="Q12" s="138"/>
      <c r="R12" s="139"/>
      <c r="S12" s="41" t="str">
        <f t="shared" ref="S12:S41" si="2">IF($R12="", "",
        IF($R12&lt;=$BI$9, $BE$9, $BF$9))</f>
        <v/>
      </c>
      <c r="T12" s="129" t="str">
        <f>IF($P12="","",$P12)</f>
        <v/>
      </c>
      <c r="U12" s="138"/>
      <c r="V12" s="139"/>
      <c r="W12" s="66"/>
      <c r="X12" s="68"/>
      <c r="Y12" s="68"/>
      <c r="Z12" s="71"/>
      <c r="AA12" s="165"/>
      <c r="AB12" s="71"/>
      <c r="AC12" s="165"/>
      <c r="AD12" s="92"/>
      <c r="AE12" s="92"/>
      <c r="AF12" s="92"/>
      <c r="AG12" s="92" t="s">
        <v>418</v>
      </c>
      <c r="AH12" s="121"/>
      <c r="AI12" s="121">
        <v>0</v>
      </c>
      <c r="AJ12" s="121">
        <v>0</v>
      </c>
      <c r="AK12" s="121">
        <v>0</v>
      </c>
      <c r="AL12" s="92">
        <v>0</v>
      </c>
      <c r="AM12" s="130">
        <f>IF($AL12="", "",
        IF(AND($AL12&gt;0, ROUNDDOWN($AL12/6, 0)=0), 1,
             ROUNDDOWN($AL12/6, 0)))</f>
        <v>0</v>
      </c>
      <c r="AN12" s="121">
        <v>0</v>
      </c>
      <c r="AO12" s="101" t="str">
        <f>IF(OR(SUMPRODUCT(--(AG12:AN12&lt;&gt;""))&lt;7,AND($AG12=マスタ!$N$3,$AH12="")),"",
             IF($AH12&lt;10, $BG$9,
                  IF(AND(SUM($AI12,$AJ12,$AM12,$AN12)&gt;=($AH12*0.2),
                                $AJ12+$AM12+$AN12&gt;=1),
                       $BE$9,$BF$9)))</f>
        <v>―</v>
      </c>
      <c r="AP12" s="101" t="str">
        <f>IF(OR(SUMPRODUCT(--(AG12:AN12&lt;&gt;""))&lt;7,AND($AG12=マスタ!$N$3,$AH12="")),"",
      IF($AO12=$BF$9,$BF$9,
        IF($AG12=マスタ!$N$5, $BG$9,
              IF($AH12&lt;5, IF($AN12&gt;=1, $BE$9, $BF$9),
                   IF(OR($AN12&gt;=1,
                               AND(SUM($AI12+$AJ12+$AM12+$AN12)&gt;=($AH12*0.5),
                                         ($AJ12+$AM12+$AN12)&gt;=($AH12*0.2))),
                        $BE$9,$BF$9)))))</f>
        <v>―</v>
      </c>
      <c r="AQ12" s="66"/>
      <c r="AR12" s="143"/>
      <c r="AT12" s="98" t="str" cm="1">
        <f t="array" aca="1" ref="AT12" ca="1">IF(AND($G12:$H12&lt;&gt;"", $J12:$L12&lt;&gt;"",
                 IF($G12=マスタ!$J$11, TRUE, $M12&lt;&gt;""),
                 $R12&lt;&gt;"", $W12:$X12&lt;&gt;"",
                 IF($X12=マスタ!$F$4, TRUE, $Y12&lt;&gt;""),
                 $AD12:$AL12&lt;&gt;"", $AN12&lt;&gt;"", $AQ12&lt;&gt;""),
        "（正常）入力済み", IF($C12= "", "（複数入力）未入力", "（エラー）一部未入力"))</f>
        <v>（エラー）一部未入力</v>
      </c>
      <c r="AU12" s="98" t="str">
        <f ca="1">IF($C12="", "",
              IF($G12=マスタ!$J$11, IF($M12="", "（正常）規定値", "（エラー）値入力不可"),
                   IF($M12="", "未入力","（正常）規定値")))</f>
        <v>未入力</v>
      </c>
      <c r="AV12" s="98" t="str">
        <f ca="1">IF($C12="", "", IF(M12="",IF($G12=マスタ!$J$11, "（正常）入力不要", "未入力"),
        IF(LEN(
                      MID(M12,FIND(".",M12&amp;".")+1,LEN(M12))
                     )&gt;2, "（エラー）小数第3位以下切り上げ要", "（正常）規定内の桁数")))</f>
        <v>未入力</v>
      </c>
      <c r="AW12" s="98" t="str">
        <f ca="1">IF($C12="", "", IF(P12="","未入力",
        IF(LEN(
                      MID(P12,FIND(".",P12&amp;".")+1,LEN(P12))
                     )&gt;1, "（エラー）小数第2位以下切り上げ要", "（正常）規定内の桁数")))</f>
        <v>未入力</v>
      </c>
      <c r="AX12" s="98" t="str">
        <f ca="1">IF($C12="", "", IF(Q12="","未入力",
        IF(LEN(
                      MID(Q12,FIND(".",Q12&amp;".")+1,LEN(Q12))
                     )&gt;1, "（エラー）小数第2位以下切り上げ要", "（正常）規定内の桁数")))</f>
        <v>未入力</v>
      </c>
      <c r="AY12" s="98" t="str">
        <f ca="1">IF($C12="", "", IF(R12="","未入力",
        IF(LEN(
                      MID(R12,FIND(".",R12&amp;".")+1,LEN(R12))
                     )&gt;2, "（エラー）小数第3位以下切り上げ要", "（正常）規定内の桁数")))</f>
        <v>未入力</v>
      </c>
      <c r="AZ12" s="98" t="str">
        <f ca="1">IF($C12="", "", IF(U12="","未入力",
        IF(LEN(
                      MID(U12,FIND(".",U12&amp;".")+1,LEN(U12))
                     )&gt;1, "（エラー）小数第2位以下切り上げ要", "（正常）規定内の桁数")))</f>
        <v>未入力</v>
      </c>
      <c r="BA12" s="98" t="str">
        <f ca="1">IF($C12="", "", IF(V12="","未入力",
        IF(LEN(
                      MID(V12,FIND(".",V12&amp;".")+1,LEN(V12))
                     )&gt;2, "（エラー）小数第3位以下切り上げ要", "（正常）規定内の桁数")))</f>
        <v>未入力</v>
      </c>
      <c r="BB12" s="98" t="str">
        <f>IF($X12="", "",
        IF($X12=マスタ!$F$3,
             IF($Y12="", "未入力", "（正常）規定値"),
                  IF($X12=マスタ!$F$4,
                       IF($Y12&lt;&gt;入力不可用2, "（エラー）値入力不可", "（正常）規定値"))))</f>
        <v/>
      </c>
      <c r="BD12" s="75" t="str">
        <f>TRIM($E12)</f>
        <v/>
      </c>
      <c r="BE12" s="75"/>
      <c r="BF12" s="75"/>
      <c r="BG12" s="75"/>
      <c r="BH12" s="75"/>
      <c r="BI12" s="75"/>
      <c r="BJ12" s="75"/>
      <c r="BK12" s="75"/>
      <c r="BL12" s="75"/>
      <c r="BM12" s="75"/>
      <c r="BN12" s="75"/>
      <c r="BO12" s="75"/>
    </row>
    <row r="13" spans="2:68" ht="30" customHeight="1">
      <c r="C13" s="69" t="str" cm="1">
        <f t="array" aca="1" ref="C13" ca="1">IF(SUMPRODUCT(--($D13:$AR13 &lt;&gt; "")),RIGHT(YEAR(TODAY()),2)&amp;"02"&amp;REPT("0",4-LEN(ROW()-11))&amp;ROW()-11,"")</f>
        <v/>
      </c>
      <c r="D13" s="141"/>
      <c r="E13" s="141"/>
      <c r="F13" s="141"/>
      <c r="G13" s="71"/>
      <c r="H13" s="66"/>
      <c r="I13" s="41" t="str">
        <f>IFERROR(VLOOKUP(H13,マスタ!$D$3:$E$55,2,FALSE),"")</f>
        <v/>
      </c>
      <c r="J13" s="93"/>
      <c r="K13" s="77"/>
      <c r="L13" s="66"/>
      <c r="M13" s="137"/>
      <c r="N13" s="101" t="str">
        <f>IF($G13=マスタ!$J$11, $BG$9,
        IF($M13="", "",
             IF($M13&lt;=$BH$9, $BE$9, $BF$9)))</f>
        <v/>
      </c>
      <c r="O13" s="101" t="str">
        <f>IF($G13=マスタ!$J$11, $BG$9,
        IF($M13="", "",
             IF($M13&lt;=$BH$9, $BE$9, $BF$9)))</f>
        <v/>
      </c>
      <c r="P13" s="138"/>
      <c r="Q13" s="138"/>
      <c r="R13" s="139"/>
      <c r="S13" s="41" t="str">
        <f t="shared" si="2"/>
        <v/>
      </c>
      <c r="T13" s="129" t="str">
        <f t="shared" ref="T13:T41" si="3">IF($P13="","",$P13)</f>
        <v/>
      </c>
      <c r="U13" s="138"/>
      <c r="V13" s="139"/>
      <c r="W13" s="66"/>
      <c r="X13" s="68"/>
      <c r="Y13" s="68"/>
      <c r="Z13" s="71"/>
      <c r="AA13" s="165"/>
      <c r="AB13" s="71"/>
      <c r="AC13" s="165"/>
      <c r="AD13" s="92"/>
      <c r="AE13" s="92"/>
      <c r="AF13" s="92"/>
      <c r="AG13" s="92"/>
      <c r="AH13" s="121"/>
      <c r="AI13" s="121"/>
      <c r="AJ13" s="121"/>
      <c r="AK13" s="121"/>
      <c r="AL13" s="92"/>
      <c r="AM13" s="130" t="str">
        <f t="shared" ref="AM13:AM41" si="4">IF($AL13="", "",
        IF(AND($AL13&gt;0, ROUNDDOWN($AL13/6, 0)=0), 1,
             ROUNDDOWN($AL13/6, 0)))</f>
        <v/>
      </c>
      <c r="AN13" s="121"/>
      <c r="AO13" s="101" t="str">
        <f>IF(OR(SUMPRODUCT(--(AG13:AN13&lt;&gt;""))&lt;7,AND($AG13=マスタ!$N$3,$AH13="")),"",
             IF($AH13&lt;10, $BG$9,
                  IF(AND(SUM($AI13,$AJ13,$AM13,$AN13)&gt;=($AH13*0.2),
                                $AJ13+$AM13+$AN13&gt;=1),
                       $BE$9,$BF$9)))</f>
        <v/>
      </c>
      <c r="AP13" s="101" t="str">
        <f>IF(OR(SUMPRODUCT(--(AG13:AN13&lt;&gt;""))&lt;7,AND($AG13=マスタ!$N$3,$AH13="")),"",
      IF($AO13=$BF$9,$BF$9,
        IF($AG13=マスタ!$N$5, $BG$9,
              IF($AH13&lt;5, IF($AN13&gt;=1, $BE$9, $BF$9),
                   IF(OR($AN13&gt;=1,
                               AND(SUM($AI13+$AJ13+$AM13+$AN13)&gt;=($AH13*0.5),
                                         ($AJ13+$AM13+$AN13)&gt;=($AH13*0.2))),
                        $BE$9,$BF$9)))))</f>
        <v/>
      </c>
      <c r="AQ13" s="66"/>
      <c r="AR13" s="143"/>
      <c r="AT13" s="98" t="str" cm="1">
        <f t="array" aca="1" ref="AT13" ca="1">IF(AND($G13:$H13&lt;&gt;"", $J13:$L13&lt;&gt;"",
                 IF($G13=マスタ!$J$11, TRUE, $M13&lt;&gt;""),
                 $R13&lt;&gt;"", $W13:$X13&lt;&gt;"",
                 IF($X13=マスタ!$F$4, TRUE, $Y13&lt;&gt;""),
                 $AD13:$AL13&lt;&gt;"", $AN13&lt;&gt;"", $AQ13&lt;&gt;""),
        "（正常）入力済み", IF($C13= "", "（複数入力）未入力", "（エラー）一部未入力"))</f>
        <v>（複数入力）未入力</v>
      </c>
      <c r="AU13" s="98" t="str">
        <f ca="1">IF($C13="", "",
              IF($G13=マスタ!$J$11, IF($M13="", "（正常）規定値", "（エラー）値入力不可"),
                   IF($M13="", "未入力","（正常）規定値")))</f>
        <v/>
      </c>
      <c r="AV13" s="98" t="str">
        <f ca="1">IF($C13="", "", IF(M13="",IF($G13=マスタ!$J$11, "（正常）入力不要", "未入力"),
        IF(LEN(
                      MID(M13,FIND(".",M13&amp;".")+1,LEN(M13))
                     )&gt;2, "（エラー）小数第3位以下切り上げ要", "（正常）規定内の桁数")))</f>
        <v/>
      </c>
      <c r="AW13" s="98" t="str">
        <f t="shared" ref="AW13:AW21" ca="1" si="5">IF($C13="", "", IF(P13="","未入力",
        IF(LEN(
                      MID(P13,FIND(".",P13&amp;".")+1,LEN(P13))
                     )&gt;1, "（エラー）小数第2位以下切り上げ要", "（正常）規定内の桁数")))</f>
        <v/>
      </c>
      <c r="AX13" s="98" t="str">
        <f t="shared" ref="AX13:AX21" ca="1" si="6">IF($C13="", "", IF(Q13="","未入力",
        IF(LEN(
                      MID(Q13,FIND(".",Q13&amp;".")+1,LEN(Q13))
                     )&gt;1, "（エラー）小数第2位以下切り上げ要", "（正常）規定内の桁数")))</f>
        <v/>
      </c>
      <c r="AY13" s="98" t="str">
        <f t="shared" ref="AY13:AY21" ca="1" si="7">IF($C13="", "", IF(R13="","未入力",
        IF(LEN(
                      MID(R13,FIND(".",R13&amp;".")+1,LEN(R13))
                     )&gt;2, "（エラー）小数第3位以下切り上げ要", "（正常）規定内の桁数")))</f>
        <v/>
      </c>
      <c r="AZ13" s="98" t="str">
        <f t="shared" ref="AZ13:AZ21" ca="1" si="8">IF($C13="", "", IF(U13="","未入力",
        IF(LEN(
                      MID(U13,FIND(".",U13&amp;".")+1,LEN(U13))
                     )&gt;1, "（エラー）小数第2位以下切り上げ要", "（正常）規定内の桁数")))</f>
        <v/>
      </c>
      <c r="BA13" s="98" t="str">
        <f t="shared" ref="BA13:BA21" ca="1" si="9">IF($C13="", "", IF(V13="","未入力",
        IF(LEN(
                      MID(V13,FIND(".",V13&amp;".")+1,LEN(V13))
                     )&gt;2, "（エラー）小数第3位以下切り上げ要", "（正常）規定内の桁数")))</f>
        <v/>
      </c>
      <c r="BB13" s="98" t="str">
        <f>IF($X13="", "",
        IF($X13=マスタ!$F$3,
             IF($Y13="", "未入力", "（正常）規定値"),
                  IF($X13=マスタ!$F$4,
                       IF($Y13&lt;&gt;入力不可用2, "（エラー）値入力不可", "（正常）規定値"))))</f>
        <v/>
      </c>
      <c r="BD13" s="75" t="str">
        <f t="shared" ref="BD13:BD41" si="10">TRIM($E13)</f>
        <v/>
      </c>
      <c r="BE13" s="75"/>
      <c r="BF13" s="75"/>
      <c r="BG13" s="75"/>
      <c r="BH13" s="75"/>
      <c r="BI13" s="75"/>
      <c r="BJ13" s="75"/>
      <c r="BK13" s="75"/>
      <c r="BL13" s="75"/>
      <c r="BM13" s="75"/>
      <c r="BN13" s="75"/>
      <c r="BO13" s="75"/>
    </row>
    <row r="14" spans="2:68" ht="30" customHeight="1">
      <c r="C14" s="69" t="str" cm="1">
        <f t="array" aca="1" ref="C14" ca="1">IF(SUMPRODUCT(--($D14:$AR14 &lt;&gt; "")),RIGHT(YEAR(TODAY()),2)&amp;"02"&amp;REPT("0",4-LEN(ROW()-11))&amp;ROW()-11,"")</f>
        <v/>
      </c>
      <c r="D14" s="141"/>
      <c r="E14" s="141"/>
      <c r="F14" s="141"/>
      <c r="G14" s="71"/>
      <c r="H14" s="66"/>
      <c r="I14" s="41" t="str">
        <f>IFERROR(VLOOKUP(H14,マスタ!$D$3:$E$55,2,FALSE),"")</f>
        <v/>
      </c>
      <c r="J14" s="93"/>
      <c r="K14" s="77"/>
      <c r="L14" s="66"/>
      <c r="M14" s="137"/>
      <c r="N14" s="101" t="str">
        <f>IF($G14=マスタ!$J$11, $BG$9,
        IF($M14="", "",
             IF($M14&lt;=$BH$9, $BE$9, $BF$9)))</f>
        <v/>
      </c>
      <c r="O14" s="101" t="str">
        <f>IF($G14=マスタ!$J$11, $BG$9,
        IF($M14="", "",
             IF($M14&lt;=$BH$9, $BE$9, $BF$9)))</f>
        <v/>
      </c>
      <c r="P14" s="138"/>
      <c r="Q14" s="138"/>
      <c r="R14" s="139"/>
      <c r="S14" s="41" t="str">
        <f t="shared" si="2"/>
        <v/>
      </c>
      <c r="T14" s="129" t="str">
        <f t="shared" si="3"/>
        <v/>
      </c>
      <c r="U14" s="138"/>
      <c r="V14" s="139"/>
      <c r="W14" s="66"/>
      <c r="X14" s="68"/>
      <c r="Y14" s="68"/>
      <c r="Z14" s="71"/>
      <c r="AA14" s="165"/>
      <c r="AB14" s="71"/>
      <c r="AC14" s="165"/>
      <c r="AD14" s="92"/>
      <c r="AE14" s="92"/>
      <c r="AF14" s="92"/>
      <c r="AG14" s="92"/>
      <c r="AH14" s="121"/>
      <c r="AI14" s="121"/>
      <c r="AJ14" s="121"/>
      <c r="AK14" s="121"/>
      <c r="AL14" s="92"/>
      <c r="AM14" s="130" t="str">
        <f t="shared" si="4"/>
        <v/>
      </c>
      <c r="AN14" s="121"/>
      <c r="AO14" s="101" t="str">
        <f>IF(OR(SUMPRODUCT(--(AG14:AN14&lt;&gt;""))&lt;7,AND($AG14=マスタ!$N$3,$AH14="")),"",
             IF($AH14&lt;10, $BG$9,
                  IF(AND(SUM($AI14,$AJ14,$AM14,$AN14)&gt;=($AH14*0.2),
                                $AJ14+$AM14+$AN14&gt;=1),
                       $BE$9,$BF$9)))</f>
        <v/>
      </c>
      <c r="AP14" s="101" t="str">
        <f>IF(OR(SUMPRODUCT(--(AG14:AN14&lt;&gt;""))&lt;7,AND($AG14=マスタ!$N$3,$AH14="")),"",
      IF($AO14=$BF$9,$BF$9,
        IF($AG14=マスタ!$N$5, $BG$9,
              IF($AH14&lt;5, IF($AN14&gt;=1, $BE$9, $BF$9),
                   IF(OR($AN14&gt;=1,
                               AND(SUM($AI14+$AJ14+$AM14+$AN14)&gt;=($AH14*0.5),
                                         ($AJ14+$AM14+$AN14)&gt;=($AH14*0.2))),
                        $BE$9,$BF$9)))))</f>
        <v/>
      </c>
      <c r="AQ14" s="66"/>
      <c r="AR14" s="143"/>
      <c r="AT14" s="98" t="str" cm="1">
        <f t="array" aca="1" ref="AT14" ca="1">IF(AND($G14:$H14&lt;&gt;"", $J14:$L14&lt;&gt;"",
                 IF($G14=マスタ!$J$11, TRUE, $M14&lt;&gt;""),
                 $R14&lt;&gt;"", $W14:$X14&lt;&gt;"",
                 IF($X14=マスタ!$F$4, TRUE, $Y14&lt;&gt;""),
                 $AD14:$AL14&lt;&gt;"", $AN14&lt;&gt;"", $AQ14&lt;&gt;""),
        "（正常）入力済み", IF($C14= "", "（複数入力）未入力", "（エラー）一部未入力"))</f>
        <v>（複数入力）未入力</v>
      </c>
      <c r="AU14" s="98" t="str">
        <f ca="1">IF($C14="", "",
              IF($G14=マスタ!$J$11, IF($M14="", "（正常）規定値", "（エラー）値入力不可"),
                   IF($M14="", "未入力","（正常）規定値")))</f>
        <v/>
      </c>
      <c r="AV14" s="98" t="str">
        <f ca="1">IF($C14="", "", IF(M14="",IF($G14=マスタ!$J$11, "（正常）入力不要", "未入力"),
        IF(LEN(
                      MID(M14,FIND(".",M14&amp;".")+1,LEN(M14))
                     )&gt;2, "（エラー）小数第3位以下切り上げ要", "（正常）規定内の桁数")))</f>
        <v/>
      </c>
      <c r="AW14" s="98" t="str">
        <f t="shared" ca="1" si="5"/>
        <v/>
      </c>
      <c r="AX14" s="98" t="str">
        <f t="shared" ca="1" si="6"/>
        <v/>
      </c>
      <c r="AY14" s="98" t="str">
        <f t="shared" ca="1" si="7"/>
        <v/>
      </c>
      <c r="AZ14" s="98" t="str">
        <f t="shared" ca="1" si="8"/>
        <v/>
      </c>
      <c r="BA14" s="98" t="str">
        <f t="shared" ca="1" si="9"/>
        <v/>
      </c>
      <c r="BB14" s="98" t="str">
        <f>IF($X14="", "",
        IF($X14=マスタ!$F$3,
             IF($Y14="", "未入力", "（正常）規定値"),
                  IF($X14=マスタ!$F$4,
                       IF($Y14&lt;&gt;入力不可用2, "（エラー）値入力不可", "（正常）規定値"))))</f>
        <v/>
      </c>
      <c r="BD14" s="75" t="str">
        <f t="shared" si="10"/>
        <v/>
      </c>
      <c r="BE14" s="75" t="s">
        <v>277</v>
      </c>
      <c r="BF14" s="75"/>
      <c r="BG14" s="75"/>
      <c r="BH14" s="75"/>
      <c r="BI14" s="75"/>
      <c r="BJ14" s="75"/>
      <c r="BK14" s="75"/>
      <c r="BL14" s="75"/>
      <c r="BM14" s="75"/>
      <c r="BN14" s="75"/>
      <c r="BO14" s="75"/>
    </row>
    <row r="15" spans="2:68" ht="30" customHeight="1">
      <c r="C15" s="69" t="str" cm="1">
        <f t="array" aca="1" ref="C15" ca="1">IF(SUMPRODUCT(--($D15:$AR15 &lt;&gt; "")),RIGHT(YEAR(TODAY()),2)&amp;"02"&amp;REPT("0",4-LEN(ROW()-11))&amp;ROW()-11,"")</f>
        <v/>
      </c>
      <c r="D15" s="141"/>
      <c r="E15" s="141"/>
      <c r="F15" s="141"/>
      <c r="G15" s="71"/>
      <c r="H15" s="66"/>
      <c r="I15" s="41" t="str">
        <f>IFERROR(VLOOKUP(H15,マスタ!$D$3:$E$55,2,FALSE),"")</f>
        <v/>
      </c>
      <c r="J15" s="93"/>
      <c r="K15" s="77"/>
      <c r="L15" s="66"/>
      <c r="M15" s="137"/>
      <c r="N15" s="101" t="str">
        <f>IF($G15=マスタ!$J$11, $BG$9,
        IF($M15="", "",
             IF($M15&lt;=$BH$9, $BE$9, $BF$9)))</f>
        <v/>
      </c>
      <c r="O15" s="101" t="str">
        <f>IF($G15=マスタ!$J$11, $BG$9,
        IF($M15="", "",
             IF($M15&lt;=$BH$9, $BE$9, $BF$9)))</f>
        <v/>
      </c>
      <c r="P15" s="138"/>
      <c r="Q15" s="138"/>
      <c r="R15" s="139"/>
      <c r="S15" s="41" t="str">
        <f t="shared" si="2"/>
        <v/>
      </c>
      <c r="T15" s="129" t="str">
        <f t="shared" si="3"/>
        <v/>
      </c>
      <c r="U15" s="138"/>
      <c r="V15" s="139"/>
      <c r="W15" s="66"/>
      <c r="X15" s="68"/>
      <c r="Y15" s="68"/>
      <c r="Z15" s="71"/>
      <c r="AA15" s="165"/>
      <c r="AB15" s="71"/>
      <c r="AC15" s="165"/>
      <c r="AD15" s="92"/>
      <c r="AE15" s="92"/>
      <c r="AF15" s="92"/>
      <c r="AG15" s="92"/>
      <c r="AH15" s="121"/>
      <c r="AI15" s="121"/>
      <c r="AJ15" s="121"/>
      <c r="AK15" s="121"/>
      <c r="AL15" s="92"/>
      <c r="AM15" s="130" t="str">
        <f t="shared" si="4"/>
        <v/>
      </c>
      <c r="AN15" s="121"/>
      <c r="AO15" s="101" t="str">
        <f>IF(OR(SUMPRODUCT(--(AG15:AN15&lt;&gt;""))&lt;7,AND($AG15=マスタ!$N$3,$AH15="")),"",
             IF($AH15&lt;10, $BG$9,
                  IF(AND(SUM($AI15,$AJ15,$AM15,$AN15)&gt;=($AH15*0.2),
                                $AJ15+$AM15+$AN15&gt;=1),
                       $BE$9,$BF$9)))</f>
        <v/>
      </c>
      <c r="AP15" s="101" t="str">
        <f>IF(OR(SUMPRODUCT(--(AG15:AN15&lt;&gt;""))&lt;7,AND($AG15=マスタ!$N$3,$AH15="")),"",
      IF($AO15=$BF$9,$BF$9,
        IF($AG15=マスタ!$N$5, $BG$9,
              IF($AH15&lt;5, IF($AN15&gt;=1, $BE$9, $BF$9),
                   IF(OR($AN15&gt;=1,
                               AND(SUM($AI15+$AJ15+$AM15+$AN15)&gt;=($AH15*0.5),
                                         ($AJ15+$AM15+$AN15)&gt;=($AH15*0.2))),
                        $BE$9,$BF$9)))))</f>
        <v/>
      </c>
      <c r="AQ15" s="66"/>
      <c r="AR15" s="143"/>
      <c r="AT15" s="98" t="str" cm="1">
        <f t="array" aca="1" ref="AT15" ca="1">IF(AND($G15:$H15&lt;&gt;"", $J15:$L15&lt;&gt;"",
                 IF($G15=マスタ!$J$11, TRUE, $M15&lt;&gt;""),
                 $R15&lt;&gt;"", $W15:$X15&lt;&gt;"",
                 IF($X15=マスタ!$F$4, TRUE, $Y15&lt;&gt;""),
                 $AD15:$AL15&lt;&gt;"", $AN15&lt;&gt;"", $AQ15&lt;&gt;""),
        "（正常）入力済み", IF($C15= "", "（複数入力）未入力", "（エラー）一部未入力"))</f>
        <v>（複数入力）未入力</v>
      </c>
      <c r="AU15" s="98" t="str">
        <f ca="1">IF($C15="", "",
              IF($G15=マスタ!$J$11, IF($M15="", "（正常）規定値", "（エラー）値入力不可"),
                   IF($M15="", "未入力","（正常）規定値")))</f>
        <v/>
      </c>
      <c r="AV15" s="98" t="str">
        <f ca="1">IF($C15="", "", IF(M15="",IF($G15=マスタ!$J$11, "（正常）入力不要", "未入力"),
        IF(LEN(
                      MID(M15,FIND(".",M15&amp;".")+1,LEN(M15))
                     )&gt;2, "（エラー）小数第3位以下切り上げ要", "（正常）規定内の桁数")))</f>
        <v/>
      </c>
      <c r="AW15" s="98" t="str">
        <f t="shared" ca="1" si="5"/>
        <v/>
      </c>
      <c r="AX15" s="98" t="str">
        <f t="shared" ca="1" si="6"/>
        <v/>
      </c>
      <c r="AY15" s="98" t="str">
        <f t="shared" ca="1" si="7"/>
        <v/>
      </c>
      <c r="AZ15" s="98" t="str">
        <f t="shared" ca="1" si="8"/>
        <v/>
      </c>
      <c r="BA15" s="98" t="str">
        <f t="shared" ca="1" si="9"/>
        <v/>
      </c>
      <c r="BB15" s="98" t="str">
        <f>IF($X15="", "",
        IF($X15=マスタ!$F$3,
             IF($Y15="", "未入力", "（正常）規定値"),
                  IF($X15=マスタ!$F$4,
                       IF($Y15&lt;&gt;入力不可用2, "（エラー）値入力不可", "（正常）規定値"))))</f>
        <v/>
      </c>
      <c r="BD15" s="75" t="str">
        <f t="shared" si="10"/>
        <v/>
      </c>
      <c r="BE15" s="75"/>
      <c r="BF15" s="75"/>
      <c r="BG15" s="75"/>
      <c r="BH15" s="75"/>
      <c r="BI15" s="75"/>
      <c r="BJ15" s="75"/>
      <c r="BK15" s="75"/>
      <c r="BL15" s="75"/>
      <c r="BM15" s="75"/>
      <c r="BN15" s="75"/>
      <c r="BO15" s="75"/>
    </row>
    <row r="16" spans="2:68" ht="30" customHeight="1">
      <c r="C16" s="69" t="str" cm="1">
        <f t="array" aca="1" ref="C16" ca="1">IF(SUMPRODUCT(--($D16:$AR16 &lt;&gt; "")),RIGHT(YEAR(TODAY()),2)&amp;"02"&amp;REPT("0",4-LEN(ROW()-11))&amp;ROW()-11,"")</f>
        <v/>
      </c>
      <c r="D16" s="141"/>
      <c r="E16" s="141"/>
      <c r="F16" s="141"/>
      <c r="G16" s="71"/>
      <c r="H16" s="66"/>
      <c r="I16" s="41" t="str">
        <f>IFERROR(VLOOKUP(H16,マスタ!$D$3:$E$55,2,FALSE),"")</f>
        <v/>
      </c>
      <c r="J16" s="93"/>
      <c r="K16" s="77"/>
      <c r="L16" s="66"/>
      <c r="M16" s="137"/>
      <c r="N16" s="101" t="str">
        <f>IF($G16=マスタ!$J$11, $BG$9,
        IF($M16="", "",
             IF($M16&lt;=$BH$9, $BE$9, $BF$9)))</f>
        <v/>
      </c>
      <c r="O16" s="101" t="str">
        <f>IF($G16=マスタ!$J$11, $BG$9,
        IF($M16="", "",
             IF($M16&lt;=$BH$9, $BE$9, $BF$9)))</f>
        <v/>
      </c>
      <c r="P16" s="138"/>
      <c r="Q16" s="138"/>
      <c r="R16" s="139"/>
      <c r="S16" s="41" t="str">
        <f t="shared" si="2"/>
        <v/>
      </c>
      <c r="T16" s="129" t="str">
        <f t="shared" si="3"/>
        <v/>
      </c>
      <c r="U16" s="138"/>
      <c r="V16" s="139"/>
      <c r="W16" s="66"/>
      <c r="X16" s="68"/>
      <c r="Y16" s="68"/>
      <c r="Z16" s="71"/>
      <c r="AA16" s="165"/>
      <c r="AB16" s="71"/>
      <c r="AC16" s="165"/>
      <c r="AD16" s="92"/>
      <c r="AE16" s="92"/>
      <c r="AF16" s="92"/>
      <c r="AG16" s="92"/>
      <c r="AH16" s="121"/>
      <c r="AI16" s="121"/>
      <c r="AJ16" s="121"/>
      <c r="AK16" s="121"/>
      <c r="AL16" s="92"/>
      <c r="AM16" s="130" t="str">
        <f t="shared" si="4"/>
        <v/>
      </c>
      <c r="AN16" s="121"/>
      <c r="AO16" s="101" t="str">
        <f>IF(OR(SUMPRODUCT(--(AG16:AN16&lt;&gt;""))&lt;7,AND($AG16=マスタ!$N$3,$AH16="")),"",
             IF($AH16&lt;10, $BG$9,
                  IF(AND(SUM($AI16,$AJ16,$AM16,$AN16)&gt;=($AH16*0.2),
                                $AJ16+$AM16+$AN16&gt;=1),
                       $BE$9,$BF$9)))</f>
        <v/>
      </c>
      <c r="AP16" s="101" t="str">
        <f>IF(OR(SUMPRODUCT(--(AG16:AN16&lt;&gt;""))&lt;7,AND($AG16=マスタ!$N$3,$AH16="")),"",
      IF($AO16=$BF$9,$BF$9,
        IF($AG16=マスタ!$N$5, $BG$9,
              IF($AH16&lt;5, IF($AN16&gt;=1, $BE$9, $BF$9),
                   IF(OR($AN16&gt;=1,
                               AND(SUM($AI16+$AJ16+$AM16+$AN16)&gt;=($AH16*0.5),
                                         ($AJ16+$AM16+$AN16)&gt;=($AH16*0.2))),
                        $BE$9,$BF$9)))))</f>
        <v/>
      </c>
      <c r="AQ16" s="66"/>
      <c r="AR16" s="143"/>
      <c r="AT16" s="98" t="str" cm="1">
        <f t="array" aca="1" ref="AT16" ca="1">IF(AND($G16:$H16&lt;&gt;"", $J16:$L16&lt;&gt;"",
                 IF($G16=マスタ!$J$11, TRUE, $M16&lt;&gt;""),
                 $R16&lt;&gt;"", $W16:$X16&lt;&gt;"",
                 IF($X16=マスタ!$F$4, TRUE, $Y16&lt;&gt;""),
                 $AD16:$AL16&lt;&gt;"", $AN16&lt;&gt;"", $AQ16&lt;&gt;""),
        "（正常）入力済み", IF($C16= "", "（複数入力）未入力", "（エラー）一部未入力"))</f>
        <v>（複数入力）未入力</v>
      </c>
      <c r="AU16" s="98" t="str">
        <f ca="1">IF($C16="", "",
              IF($G16=マスタ!$J$11, IF($M16="", "（正常）規定値", "（エラー）値入力不可"),
                   IF($M16="", "未入力","（正常）規定値")))</f>
        <v/>
      </c>
      <c r="AV16" s="98" t="str">
        <f ca="1">IF($C16="", "", IF(M16="",IF($G16=マスタ!$J$11, "（正常）入力不要", "未入力"),
        IF(LEN(
                      MID(M16,FIND(".",M16&amp;".")+1,LEN(M16))
                     )&gt;2, "（エラー）小数第3位以下切り上げ要", "（正常）規定内の桁数")))</f>
        <v/>
      </c>
      <c r="AW16" s="98" t="str">
        <f t="shared" ca="1" si="5"/>
        <v/>
      </c>
      <c r="AX16" s="98" t="str">
        <f t="shared" ca="1" si="6"/>
        <v/>
      </c>
      <c r="AY16" s="98" t="str">
        <f t="shared" ca="1" si="7"/>
        <v/>
      </c>
      <c r="AZ16" s="98" t="str">
        <f t="shared" ca="1" si="8"/>
        <v/>
      </c>
      <c r="BA16" s="98" t="str">
        <f t="shared" ca="1" si="9"/>
        <v/>
      </c>
      <c r="BB16" s="98" t="str">
        <f>IF($X16="", "",
        IF($X16=マスタ!$F$3,
             IF($Y16="", "未入力", "（正常）規定値"),
                  IF($X16=マスタ!$F$4,
                       IF($Y16&lt;&gt;入力不可用2, "（エラー）値入力不可", "（正常）規定値"))))</f>
        <v/>
      </c>
      <c r="BD16" s="75" t="str">
        <f t="shared" si="10"/>
        <v/>
      </c>
      <c r="BE16" s="75"/>
      <c r="BF16" s="75"/>
      <c r="BG16" s="75"/>
      <c r="BH16" s="75"/>
      <c r="BI16" s="75"/>
      <c r="BJ16" s="75"/>
      <c r="BK16" s="75"/>
      <c r="BL16" s="75"/>
      <c r="BM16" s="75"/>
      <c r="BN16" s="75"/>
      <c r="BO16" s="75"/>
    </row>
    <row r="17" spans="3:67" ht="30" customHeight="1">
      <c r="C17" s="69" t="str" cm="1">
        <f t="array" aca="1" ref="C17" ca="1">IF(SUMPRODUCT(--($D17:$AR17 &lt;&gt; "")),RIGHT(YEAR(TODAY()),2)&amp;"02"&amp;REPT("0",4-LEN(ROW()-11))&amp;ROW()-11,"")</f>
        <v/>
      </c>
      <c r="D17" s="141"/>
      <c r="E17" s="141"/>
      <c r="F17" s="141"/>
      <c r="G17" s="71"/>
      <c r="H17" s="66"/>
      <c r="I17" s="41" t="str">
        <f>IFERROR(VLOOKUP(H17,マスタ!$D$3:$E$55,2,FALSE),"")</f>
        <v/>
      </c>
      <c r="J17" s="93"/>
      <c r="K17" s="77"/>
      <c r="L17" s="66"/>
      <c r="M17" s="137"/>
      <c r="N17" s="101" t="str">
        <f>IF($G17=マスタ!$J$11, $BG$9,
        IF($M17="", "",
             IF($M17&lt;=$BH$9, $BE$9, $BF$9)))</f>
        <v/>
      </c>
      <c r="O17" s="101" t="str">
        <f>IF($G17=マスタ!$J$11, $BG$9,
        IF($M17="", "",
             IF($M17&lt;=$BH$9, $BE$9, $BF$9)))</f>
        <v/>
      </c>
      <c r="P17" s="138"/>
      <c r="Q17" s="138"/>
      <c r="R17" s="139"/>
      <c r="S17" s="41" t="str">
        <f t="shared" si="2"/>
        <v/>
      </c>
      <c r="T17" s="129" t="str">
        <f t="shared" si="3"/>
        <v/>
      </c>
      <c r="U17" s="138"/>
      <c r="V17" s="139"/>
      <c r="W17" s="66"/>
      <c r="X17" s="68"/>
      <c r="Y17" s="68"/>
      <c r="Z17" s="71"/>
      <c r="AA17" s="165"/>
      <c r="AB17" s="71"/>
      <c r="AC17" s="165"/>
      <c r="AD17" s="92"/>
      <c r="AE17" s="92"/>
      <c r="AF17" s="92"/>
      <c r="AG17" s="92"/>
      <c r="AH17" s="121"/>
      <c r="AI17" s="121"/>
      <c r="AJ17" s="121"/>
      <c r="AK17" s="121"/>
      <c r="AL17" s="92"/>
      <c r="AM17" s="130" t="str">
        <f t="shared" si="4"/>
        <v/>
      </c>
      <c r="AN17" s="121"/>
      <c r="AO17" s="101" t="str">
        <f>IF(OR(SUMPRODUCT(--(AG17:AN17&lt;&gt;""))&lt;7,AND($AG17=マスタ!$N$3,$AH17="")),"",
             IF($AH17&lt;10, $BG$9,
                  IF(AND(SUM($AI17,$AJ17,$AM17,$AN17)&gt;=($AH17*0.2),
                                $AJ17+$AM17+$AN17&gt;=1),
                       $BE$9,$BF$9)))</f>
        <v/>
      </c>
      <c r="AP17" s="101" t="str">
        <f>IF(OR(SUMPRODUCT(--(AG17:AN17&lt;&gt;""))&lt;7,AND($AG17=マスタ!$N$3,$AH17="")),"",
      IF($AO17=$BF$9,$BF$9,
        IF($AG17=マスタ!$N$5, $BG$9,
              IF($AH17&lt;5, IF($AN17&gt;=1, $BE$9, $BF$9),
                   IF(OR($AN17&gt;=1,
                               AND(SUM($AI17+$AJ17+$AM17+$AN17)&gt;=($AH17*0.5),
                                         ($AJ17+$AM17+$AN17)&gt;=($AH17*0.2))),
                        $BE$9,$BF$9)))))</f>
        <v/>
      </c>
      <c r="AQ17" s="66"/>
      <c r="AR17" s="143"/>
      <c r="AT17" s="98" t="str" cm="1">
        <f t="array" aca="1" ref="AT17" ca="1">IF(AND($G17:$H17&lt;&gt;"", $J17:$L17&lt;&gt;"",
                 IF($G17=マスタ!$J$11, TRUE, $M17&lt;&gt;""),
                 $R17&lt;&gt;"", $W17:$X17&lt;&gt;"",
                 IF($X17=マスタ!$F$4, TRUE, $Y17&lt;&gt;""),
                 $AD17:$AL17&lt;&gt;"", $AN17&lt;&gt;"", $AQ17&lt;&gt;""),
        "（正常）入力済み", IF($C17= "", "（複数入力）未入力", "（エラー）一部未入力"))</f>
        <v>（複数入力）未入力</v>
      </c>
      <c r="AU17" s="98" t="str">
        <f ca="1">IF($C17="", "",
              IF($G17=マスタ!$J$11, IF($M17="", "（正常）規定値", "（エラー）値入力不可"),
                   IF($M17="", "未入力","（正常）規定値")))</f>
        <v/>
      </c>
      <c r="AV17" s="98" t="str">
        <f ca="1">IF($C17="", "", IF(M17="",IF($G17=マスタ!$J$11, "（正常）入力不要", "未入力"),
        IF(LEN(
                      MID(M17,FIND(".",M17&amp;".")+1,LEN(M17))
                     )&gt;2, "（エラー）小数第3位以下切り上げ要", "（正常）規定内の桁数")))</f>
        <v/>
      </c>
      <c r="AW17" s="98" t="str">
        <f t="shared" ca="1" si="5"/>
        <v/>
      </c>
      <c r="AX17" s="98" t="str">
        <f t="shared" ca="1" si="6"/>
        <v/>
      </c>
      <c r="AY17" s="98" t="str">
        <f t="shared" ca="1" si="7"/>
        <v/>
      </c>
      <c r="AZ17" s="98" t="str">
        <f t="shared" ca="1" si="8"/>
        <v/>
      </c>
      <c r="BA17" s="98" t="str">
        <f t="shared" ca="1" si="9"/>
        <v/>
      </c>
      <c r="BB17" s="98" t="str">
        <f>IF($X17="", "",
        IF($X17=マスタ!$F$3,
             IF($Y17="", "未入力", "（正常）規定値"),
                  IF($X17=マスタ!$F$4,
                       IF($Y17&lt;&gt;入力不可用2, "（エラー）値入力不可", "（正常）規定値"))))</f>
        <v/>
      </c>
      <c r="BD17" s="75" t="str">
        <f t="shared" si="10"/>
        <v/>
      </c>
      <c r="BE17" s="75"/>
      <c r="BF17" s="75"/>
      <c r="BG17" s="75"/>
      <c r="BH17" s="75"/>
      <c r="BI17" s="75"/>
      <c r="BJ17" s="75"/>
      <c r="BK17" s="75"/>
      <c r="BL17" s="75"/>
      <c r="BM17" s="75"/>
      <c r="BN17" s="75"/>
      <c r="BO17" s="75"/>
    </row>
    <row r="18" spans="3:67" ht="30" customHeight="1">
      <c r="C18" s="69" t="str" cm="1">
        <f t="array" aca="1" ref="C18" ca="1">IF(SUMPRODUCT(--($D18:$AR18 &lt;&gt; "")),RIGHT(YEAR(TODAY()),2)&amp;"02"&amp;REPT("0",4-LEN(ROW()-11))&amp;ROW()-11,"")</f>
        <v/>
      </c>
      <c r="D18" s="141"/>
      <c r="E18" s="141"/>
      <c r="F18" s="141"/>
      <c r="G18" s="71"/>
      <c r="H18" s="66"/>
      <c r="I18" s="41" t="str">
        <f>IFERROR(VLOOKUP(H18,マスタ!$D$3:$E$55,2,FALSE),"")</f>
        <v/>
      </c>
      <c r="J18" s="93"/>
      <c r="K18" s="77"/>
      <c r="L18" s="66"/>
      <c r="M18" s="137"/>
      <c r="N18" s="101" t="str">
        <f>IF($G18=マスタ!$J$11, $BG$9,
        IF($M18="", "",
             IF($M18&lt;=$BH$9, $BE$9, $BF$9)))</f>
        <v/>
      </c>
      <c r="O18" s="101" t="str">
        <f>IF($G18=マスタ!$J$11, $BG$9,
        IF($M18="", "",
             IF($M18&lt;=$BH$9, $BE$9, $BF$9)))</f>
        <v/>
      </c>
      <c r="P18" s="138"/>
      <c r="Q18" s="138"/>
      <c r="R18" s="139"/>
      <c r="S18" s="41" t="str">
        <f t="shared" si="2"/>
        <v/>
      </c>
      <c r="T18" s="129" t="str">
        <f t="shared" si="3"/>
        <v/>
      </c>
      <c r="U18" s="138"/>
      <c r="V18" s="139"/>
      <c r="W18" s="66"/>
      <c r="X18" s="68"/>
      <c r="Y18" s="68"/>
      <c r="Z18" s="71"/>
      <c r="AA18" s="165"/>
      <c r="AB18" s="71"/>
      <c r="AC18" s="165"/>
      <c r="AD18" s="92"/>
      <c r="AE18" s="92"/>
      <c r="AF18" s="92"/>
      <c r="AG18" s="92"/>
      <c r="AH18" s="121"/>
      <c r="AI18" s="121"/>
      <c r="AJ18" s="121"/>
      <c r="AK18" s="121"/>
      <c r="AL18" s="92"/>
      <c r="AM18" s="130" t="str">
        <f t="shared" si="4"/>
        <v/>
      </c>
      <c r="AN18" s="121"/>
      <c r="AO18" s="101" t="str">
        <f>IF(OR(SUMPRODUCT(--(AG18:AN18&lt;&gt;""))&lt;7,AND($AG18=マスタ!$N$3,$AH18="")),"",
             IF($AH18&lt;10, $BG$9,
                  IF(AND(SUM($AI18,$AJ18,$AM18,$AN18)&gt;=($AH18*0.2),
                                $AJ18+$AM18+$AN18&gt;=1),
                       $BE$9,$BF$9)))</f>
        <v/>
      </c>
      <c r="AP18" s="101" t="str">
        <f>IF(OR(SUMPRODUCT(--(AG18:AN18&lt;&gt;""))&lt;7,AND($AG18=マスタ!$N$3,$AH18="")),"",
      IF($AO18=$BF$9,$BF$9,
        IF($AG18=マスタ!$N$5, $BG$9,
              IF($AH18&lt;5, IF($AN18&gt;=1, $BE$9, $BF$9),
                   IF(OR($AN18&gt;=1,
                               AND(SUM($AI18+$AJ18+$AM18+$AN18)&gt;=($AH18*0.5),
                                         ($AJ18+$AM18+$AN18)&gt;=($AH18*0.2))),
                        $BE$9,$BF$9)))))</f>
        <v/>
      </c>
      <c r="AQ18" s="66"/>
      <c r="AR18" s="143"/>
      <c r="AT18" s="98" t="str" cm="1">
        <f t="array" aca="1" ref="AT18" ca="1">IF(AND($G18:$H18&lt;&gt;"", $J18:$L18&lt;&gt;"",
                 IF($G18=マスタ!$J$11, TRUE, $M18&lt;&gt;""),
                 $R18&lt;&gt;"", $W18:$X18&lt;&gt;"",
                 IF($X18=マスタ!$F$4, TRUE, $Y18&lt;&gt;""),
                 $AD18:$AL18&lt;&gt;"", $AN18&lt;&gt;"", $AQ18&lt;&gt;""),
        "（正常）入力済み", IF($C18= "", "（複数入力）未入力", "（エラー）一部未入力"))</f>
        <v>（複数入力）未入力</v>
      </c>
      <c r="AU18" s="98" t="str">
        <f ca="1">IF($C18="", "",
              IF($G18=マスタ!$J$11, IF($M18="", "（正常）規定値", "（エラー）値入力不可"),
                   IF($M18="", "未入力","（正常）規定値")))</f>
        <v/>
      </c>
      <c r="AV18" s="98" t="str">
        <f ca="1">IF($C18="", "", IF(M18="",IF($G18=マスタ!$J$11, "（正常）入力不要", "未入力"),
        IF(LEN(
                      MID(M18,FIND(".",M18&amp;".")+1,LEN(M18))
                     )&gt;2, "（エラー）小数第3位以下切り上げ要", "（正常）規定内の桁数")))</f>
        <v/>
      </c>
      <c r="AW18" s="98" t="str">
        <f t="shared" ca="1" si="5"/>
        <v/>
      </c>
      <c r="AX18" s="98" t="str">
        <f t="shared" ca="1" si="6"/>
        <v/>
      </c>
      <c r="AY18" s="98" t="str">
        <f t="shared" ca="1" si="7"/>
        <v/>
      </c>
      <c r="AZ18" s="98" t="str">
        <f t="shared" ca="1" si="8"/>
        <v/>
      </c>
      <c r="BA18" s="98" t="str">
        <f t="shared" ca="1" si="9"/>
        <v/>
      </c>
      <c r="BB18" s="98" t="str">
        <f>IF($X18="", "",
        IF($X18=マスタ!$F$3,
             IF($Y18="", "未入力", "（正常）規定値"),
                  IF($X18=マスタ!$F$4,
                       IF($Y18&lt;&gt;入力不可用2, "（エラー）値入力不可", "（正常）規定値"))))</f>
        <v/>
      </c>
      <c r="BD18" s="75" t="str">
        <f t="shared" si="10"/>
        <v/>
      </c>
      <c r="BE18" s="75"/>
      <c r="BF18" s="75"/>
      <c r="BG18" s="75"/>
      <c r="BH18" s="75"/>
      <c r="BI18" s="75"/>
      <c r="BJ18" s="75"/>
      <c r="BK18" s="75"/>
      <c r="BL18" s="75"/>
      <c r="BM18" s="75"/>
      <c r="BN18" s="75"/>
      <c r="BO18" s="75"/>
    </row>
    <row r="19" spans="3:67" ht="30" customHeight="1">
      <c r="C19" s="69" t="str" cm="1">
        <f t="array" aca="1" ref="C19" ca="1">IF(SUMPRODUCT(--($D19:$AR19 &lt;&gt; "")),RIGHT(YEAR(TODAY()),2)&amp;"02"&amp;REPT("0",4-LEN(ROW()-11))&amp;ROW()-11,"")</f>
        <v/>
      </c>
      <c r="D19" s="141"/>
      <c r="E19" s="141"/>
      <c r="F19" s="141"/>
      <c r="G19" s="71"/>
      <c r="H19" s="66"/>
      <c r="I19" s="41" t="str">
        <f>IFERROR(VLOOKUP(H19,マスタ!$D$3:$E$55,2,FALSE),"")</f>
        <v/>
      </c>
      <c r="J19" s="93"/>
      <c r="K19" s="77"/>
      <c r="L19" s="66"/>
      <c r="M19" s="137"/>
      <c r="N19" s="101" t="str">
        <f>IF($G19=マスタ!$J$11, $BG$9,
        IF($M19="", "",
             IF($M19&lt;=$BH$9, $BE$9, $BF$9)))</f>
        <v/>
      </c>
      <c r="O19" s="101" t="str">
        <f>IF($G19=マスタ!$J$11, $BG$9,
        IF($M19="", "",
             IF($M19&lt;=$BH$9, $BE$9, $BF$9)))</f>
        <v/>
      </c>
      <c r="P19" s="138"/>
      <c r="Q19" s="138"/>
      <c r="R19" s="139"/>
      <c r="S19" s="41" t="str">
        <f t="shared" si="2"/>
        <v/>
      </c>
      <c r="T19" s="129" t="str">
        <f t="shared" si="3"/>
        <v/>
      </c>
      <c r="U19" s="138"/>
      <c r="V19" s="139"/>
      <c r="W19" s="66"/>
      <c r="X19" s="68"/>
      <c r="Y19" s="68"/>
      <c r="Z19" s="71"/>
      <c r="AA19" s="165"/>
      <c r="AB19" s="71"/>
      <c r="AC19" s="165"/>
      <c r="AD19" s="92"/>
      <c r="AE19" s="92"/>
      <c r="AF19" s="92"/>
      <c r="AG19" s="92"/>
      <c r="AH19" s="121"/>
      <c r="AI19" s="121"/>
      <c r="AJ19" s="121"/>
      <c r="AK19" s="121"/>
      <c r="AL19" s="92"/>
      <c r="AM19" s="130" t="str">
        <f t="shared" si="4"/>
        <v/>
      </c>
      <c r="AN19" s="121"/>
      <c r="AO19" s="101" t="str">
        <f>IF(OR(SUMPRODUCT(--(AG19:AN19&lt;&gt;""))&lt;7,AND($AG19=マスタ!$N$3,$AH19="")),"",
             IF($AH19&lt;10, $BG$9,
                  IF(AND(SUM($AI19,$AJ19,$AM19,$AN19)&gt;=($AH19*0.2),
                                $AJ19+$AM19+$AN19&gt;=1),
                       $BE$9,$BF$9)))</f>
        <v/>
      </c>
      <c r="AP19" s="101" t="str">
        <f>IF(OR(SUMPRODUCT(--(AG19:AN19&lt;&gt;""))&lt;7,AND($AG19=マスタ!$N$3,$AH19="")),"",
      IF($AO19=$BF$9,$BF$9,
        IF($AG19=マスタ!$N$5, $BG$9,
              IF($AH19&lt;5, IF($AN19&gt;=1, $BE$9, $BF$9),
                   IF(OR($AN19&gt;=1,
                               AND(SUM($AI19+$AJ19+$AM19+$AN19)&gt;=($AH19*0.5),
                                         ($AJ19+$AM19+$AN19)&gt;=($AH19*0.2))),
                        $BE$9,$BF$9)))))</f>
        <v/>
      </c>
      <c r="AQ19" s="66"/>
      <c r="AR19" s="143"/>
      <c r="AT19" s="98" t="str" cm="1">
        <f t="array" aca="1" ref="AT19" ca="1">IF(AND($G19:$H19&lt;&gt;"", $J19:$L19&lt;&gt;"",
                 IF($G19=マスタ!$J$11, TRUE, $M19&lt;&gt;""),
                 $R19&lt;&gt;"", $W19:$X19&lt;&gt;"",
                 IF($X19=マスタ!$F$4, TRUE, $Y19&lt;&gt;""),
                 $AD19:$AL19&lt;&gt;"", $AN19&lt;&gt;"", $AQ19&lt;&gt;""),
        "（正常）入力済み", IF($C19= "", "（複数入力）未入力", "（エラー）一部未入力"))</f>
        <v>（複数入力）未入力</v>
      </c>
      <c r="AU19" s="98" t="str">
        <f ca="1">IF($C19="", "",
              IF($G19=マスタ!$J$11, IF($M19="", "（正常）規定値", "（エラー）値入力不可"),
                   IF($M19="", "未入力","（正常）規定値")))</f>
        <v/>
      </c>
      <c r="AV19" s="98" t="str">
        <f ca="1">IF($C19="", "", IF(M19="",IF($G19=マスタ!$J$11, "（正常）入力不要", "未入力"),
        IF(LEN(
                      MID(M19,FIND(".",M19&amp;".")+1,LEN(M19))
                     )&gt;2, "（エラー）小数第3位以下切り上げ要", "（正常）規定内の桁数")))</f>
        <v/>
      </c>
      <c r="AW19" s="98" t="str">
        <f t="shared" ca="1" si="5"/>
        <v/>
      </c>
      <c r="AX19" s="98" t="str">
        <f t="shared" ca="1" si="6"/>
        <v/>
      </c>
      <c r="AY19" s="98" t="str">
        <f t="shared" ca="1" si="7"/>
        <v/>
      </c>
      <c r="AZ19" s="98" t="str">
        <f t="shared" ca="1" si="8"/>
        <v/>
      </c>
      <c r="BA19" s="98" t="str">
        <f t="shared" ca="1" si="9"/>
        <v/>
      </c>
      <c r="BB19" s="98" t="str">
        <f>IF($X19="", "",
        IF($X19=マスタ!$F$3,
             IF($Y19="", "未入力", "（正常）規定値"),
                  IF($X19=マスタ!$F$4,
                       IF($Y19&lt;&gt;入力不可用2, "（エラー）値入力不可", "（正常）規定値"))))</f>
        <v/>
      </c>
      <c r="BD19" s="75" t="str">
        <f t="shared" si="10"/>
        <v/>
      </c>
      <c r="BE19" s="75"/>
      <c r="BF19" s="75"/>
      <c r="BG19" s="75"/>
      <c r="BH19" s="75"/>
      <c r="BI19" s="75"/>
      <c r="BJ19" s="75"/>
      <c r="BK19" s="75"/>
      <c r="BL19" s="75"/>
      <c r="BM19" s="75"/>
      <c r="BN19" s="75"/>
      <c r="BO19" s="75"/>
    </row>
    <row r="20" spans="3:67" ht="30" customHeight="1">
      <c r="C20" s="69" t="str" cm="1">
        <f t="array" aca="1" ref="C20" ca="1">IF(SUMPRODUCT(--($D20:$AR20 &lt;&gt; "")),RIGHT(YEAR(TODAY()),2)&amp;"02"&amp;REPT("0",4-LEN(ROW()-11))&amp;ROW()-11,"")</f>
        <v/>
      </c>
      <c r="D20" s="141"/>
      <c r="E20" s="141"/>
      <c r="F20" s="141"/>
      <c r="G20" s="71"/>
      <c r="H20" s="66"/>
      <c r="I20" s="41" t="str">
        <f>IFERROR(VLOOKUP(H20,マスタ!$D$3:$E$55,2,FALSE),"")</f>
        <v/>
      </c>
      <c r="J20" s="93"/>
      <c r="K20" s="77"/>
      <c r="L20" s="66"/>
      <c r="M20" s="137"/>
      <c r="N20" s="101" t="str">
        <f>IF($G20=マスタ!$J$11, $BG$9,
        IF($M20="", "",
             IF($M20&lt;=$BH$9, $BE$9, $BF$9)))</f>
        <v/>
      </c>
      <c r="O20" s="101" t="str">
        <f>IF($G20=マスタ!$J$11, $BG$9,
        IF($M20="", "",
             IF($M20&lt;=$BH$9, $BE$9, $BF$9)))</f>
        <v/>
      </c>
      <c r="P20" s="138"/>
      <c r="Q20" s="138"/>
      <c r="R20" s="139" t="s">
        <v>277</v>
      </c>
      <c r="S20" s="41" t="str">
        <f t="shared" si="2"/>
        <v/>
      </c>
      <c r="T20" s="129" t="str">
        <f t="shared" si="3"/>
        <v/>
      </c>
      <c r="U20" s="138"/>
      <c r="V20" s="139" t="s">
        <v>277</v>
      </c>
      <c r="W20" s="66"/>
      <c r="X20" s="68"/>
      <c r="Y20" s="68"/>
      <c r="Z20" s="71"/>
      <c r="AA20" s="165"/>
      <c r="AB20" s="71"/>
      <c r="AC20" s="165"/>
      <c r="AD20" s="92"/>
      <c r="AE20" s="92"/>
      <c r="AF20" s="92"/>
      <c r="AG20" s="92"/>
      <c r="AH20" s="121"/>
      <c r="AI20" s="121"/>
      <c r="AJ20" s="121"/>
      <c r="AK20" s="121"/>
      <c r="AL20" s="92"/>
      <c r="AM20" s="130" t="str">
        <f t="shared" si="4"/>
        <v/>
      </c>
      <c r="AN20" s="121"/>
      <c r="AO20" s="101" t="str">
        <f>IF(OR(SUMPRODUCT(--(AG20:AN20&lt;&gt;""))&lt;7,AND($AG20=マスタ!$N$3,$AH20="")),"",
             IF($AH20&lt;10, $BG$9,
                  IF(AND(SUM($AI20,$AJ20,$AM20,$AN20)&gt;=($AH20*0.2),
                                $AJ20+$AM20+$AN20&gt;=1),
                       $BE$9,$BF$9)))</f>
        <v/>
      </c>
      <c r="AP20" s="101" t="str">
        <f>IF(OR(SUMPRODUCT(--(AG20:AN20&lt;&gt;""))&lt;7,AND($AG20=マスタ!$N$3,$AH20="")),"",
      IF($AO20=$BF$9,$BF$9,
        IF($AG20=マスタ!$N$5, $BG$9,
              IF($AH20&lt;5, IF($AN20&gt;=1, $BE$9, $BF$9),
                   IF(OR($AN20&gt;=1,
                               AND(SUM($AI20+$AJ20+$AM20+$AN20)&gt;=($AH20*0.5),
                                         ($AJ20+$AM20+$AN20)&gt;=($AH20*0.2))),
                        $BE$9,$BF$9)))))</f>
        <v/>
      </c>
      <c r="AQ20" s="66"/>
      <c r="AR20" s="143"/>
      <c r="AT20" s="98" t="str" cm="1">
        <f t="array" aca="1" ref="AT20" ca="1">IF(AND($G20:$H20&lt;&gt;"", $J20:$L20&lt;&gt;"",
                 IF($G20=マスタ!$J$11, TRUE, $M20&lt;&gt;""),
                 $R20&lt;&gt;"", $W20:$X20&lt;&gt;"",
                 IF($X20=マスタ!$F$4, TRUE, $Y20&lt;&gt;""),
                 $AD20:$AL20&lt;&gt;"", $AN20&lt;&gt;"", $AQ20&lt;&gt;""),
        "（正常）入力済み", IF($C20= "", "（複数入力）未入力", "（エラー）一部未入力"))</f>
        <v>（複数入力）未入力</v>
      </c>
      <c r="AU20" s="98" t="str">
        <f ca="1">IF($C20="", "",
              IF($G20=マスタ!$J$11, IF($M20="", "（正常）規定値", "（エラー）値入力不可"),
                   IF($M20="", "未入力","（正常）規定値")))</f>
        <v/>
      </c>
      <c r="AV20" s="98" t="str">
        <f ca="1">IF($C20="", "", IF(M20="",IF($G20=マスタ!$J$11, "（正常）入力不要", "未入力"),
        IF(LEN(
                      MID(M20,FIND(".",M20&amp;".")+1,LEN(M20))
                     )&gt;2, "（エラー）小数第3位以下切り上げ要", "（正常）規定内の桁数")))</f>
        <v/>
      </c>
      <c r="AW20" s="98" t="str">
        <f t="shared" ca="1" si="5"/>
        <v/>
      </c>
      <c r="AX20" s="98" t="str">
        <f t="shared" ca="1" si="6"/>
        <v/>
      </c>
      <c r="AY20" s="98" t="str">
        <f t="shared" ca="1" si="7"/>
        <v/>
      </c>
      <c r="AZ20" s="98" t="str">
        <f t="shared" ca="1" si="8"/>
        <v/>
      </c>
      <c r="BA20" s="98" t="str">
        <f t="shared" ca="1" si="9"/>
        <v/>
      </c>
      <c r="BB20" s="98" t="str">
        <f>IF($X20="", "",
        IF($X20=マスタ!$F$3,
             IF($Y20="", "未入力", "（正常）規定値"),
                  IF($X20=マスタ!$F$4,
                       IF($Y20&lt;&gt;入力不可用2, "（エラー）値入力不可", "（正常）規定値"))))</f>
        <v/>
      </c>
      <c r="BD20" s="75" t="str">
        <f t="shared" si="10"/>
        <v/>
      </c>
      <c r="BE20" s="75"/>
      <c r="BF20" s="75"/>
      <c r="BG20" s="75"/>
      <c r="BH20" s="75"/>
      <c r="BI20" s="75"/>
      <c r="BJ20" s="75"/>
      <c r="BK20" s="75"/>
      <c r="BL20" s="75"/>
      <c r="BM20" s="75"/>
      <c r="BN20" s="75"/>
      <c r="BO20" s="75"/>
    </row>
    <row r="21" spans="3:67" ht="30" customHeight="1">
      <c r="C21" s="69" t="str" cm="1">
        <f t="array" aca="1" ref="C21" ca="1">IF(SUMPRODUCT(--($D21:$AR21 &lt;&gt; "")),RIGHT(YEAR(TODAY()),2)&amp;"02"&amp;REPT("0",4-LEN(ROW()-11))&amp;ROW()-11,"")</f>
        <v/>
      </c>
      <c r="D21" s="141"/>
      <c r="E21" s="141"/>
      <c r="F21" s="141"/>
      <c r="G21" s="71"/>
      <c r="H21" s="66"/>
      <c r="I21" s="41" t="str">
        <f>IFERROR(VLOOKUP(H21,マスタ!$D$3:$E$55,2,FALSE),"")</f>
        <v/>
      </c>
      <c r="J21" s="93"/>
      <c r="K21" s="77"/>
      <c r="L21" s="66"/>
      <c r="M21" s="137"/>
      <c r="N21" s="101" t="str">
        <f>IF($G21=マスタ!$J$11, $BG$9,
        IF($M21="", "",
             IF($M21&lt;=$BH$9, $BE$9, $BF$9)))</f>
        <v/>
      </c>
      <c r="O21" s="101" t="str">
        <f>IF($G21=マスタ!$J$11, $BG$9,
        IF($M21="", "",
             IF($M21&lt;=$BH$9, $BE$9, $BF$9)))</f>
        <v/>
      </c>
      <c r="P21" s="138"/>
      <c r="Q21" s="138"/>
      <c r="R21" s="139" t="s">
        <v>277</v>
      </c>
      <c r="S21" s="41" t="str">
        <f t="shared" si="2"/>
        <v/>
      </c>
      <c r="T21" s="129" t="str">
        <f t="shared" si="3"/>
        <v/>
      </c>
      <c r="U21" s="138"/>
      <c r="V21" s="139" t="s">
        <v>277</v>
      </c>
      <c r="W21" s="66"/>
      <c r="X21" s="68"/>
      <c r="Y21" s="68"/>
      <c r="Z21" s="71"/>
      <c r="AA21" s="165"/>
      <c r="AB21" s="71"/>
      <c r="AC21" s="165"/>
      <c r="AD21" s="92"/>
      <c r="AE21" s="92"/>
      <c r="AF21" s="92"/>
      <c r="AG21" s="92"/>
      <c r="AH21" s="121"/>
      <c r="AI21" s="121"/>
      <c r="AJ21" s="121"/>
      <c r="AK21" s="121"/>
      <c r="AL21" s="92"/>
      <c r="AM21" s="130" t="str">
        <f t="shared" si="4"/>
        <v/>
      </c>
      <c r="AN21" s="121"/>
      <c r="AO21" s="101" t="str">
        <f>IF(OR(SUMPRODUCT(--(AG21:AN21&lt;&gt;""))&lt;7,AND($AG21=マスタ!$N$3,$AH21="")),"",
             IF($AH21&lt;10, $BG$9,
                  IF(AND(SUM($AI21,$AJ21,$AM21,$AN21)&gt;=($AH21*0.2),
                                $AJ21+$AM21+$AN21&gt;=1),
                       $BE$9,$BF$9)))</f>
        <v/>
      </c>
      <c r="AP21" s="101" t="str">
        <f>IF(OR(SUMPRODUCT(--(AG21:AN21&lt;&gt;""))&lt;7,AND($AG21=マスタ!$N$3,$AH21="")),"",
      IF($AO21=$BF$9,$BF$9,
        IF($AG21=マスタ!$N$5, $BG$9,
              IF($AH21&lt;5, IF($AN21&gt;=1, $BE$9, $BF$9),
                   IF(OR($AN21&gt;=1,
                               AND(SUM($AI21+$AJ21+$AM21+$AN21)&gt;=($AH21*0.5),
                                         ($AJ21+$AM21+$AN21)&gt;=($AH21*0.2))),
                        $BE$9,$BF$9)))))</f>
        <v/>
      </c>
      <c r="AQ21" s="66"/>
      <c r="AR21" s="143"/>
      <c r="AT21" s="98" t="str" cm="1">
        <f t="array" aca="1" ref="AT21" ca="1">IF(AND($G21:$H21&lt;&gt;"", $J21:$L21&lt;&gt;"",
                 IF($G21=マスタ!$J$11, TRUE, $M21&lt;&gt;""),
                 $R21&lt;&gt;"", $W21:$X21&lt;&gt;"",
                 IF($X21=マスタ!$F$4, TRUE, $Y21&lt;&gt;""),
                 $AD21:$AL21&lt;&gt;"", $AN21&lt;&gt;"", $AQ21&lt;&gt;""),
        "（正常）入力済み", IF($C21= "", "（複数入力）未入力", "（エラー）一部未入力"))</f>
        <v>（複数入力）未入力</v>
      </c>
      <c r="AU21" s="98" t="str">
        <f ca="1">IF($C21="", "",
              IF($G21=マスタ!$J$11, IF($M21="", "（正常）規定値", "（エラー）値入力不可"),
                   IF($M21="", "未入力","（正常）規定値")))</f>
        <v/>
      </c>
      <c r="AV21" s="98" t="str">
        <f ca="1">IF($C21="", "", IF(M21="",IF($G21=マスタ!$J$11, "（正常）入力不要", "未入力"),
        IF(LEN(
                      MID(M21,FIND(".",M21&amp;".")+1,LEN(M21))
                     )&gt;2, "（エラー）小数第3位以下切り上げ要", "（正常）規定内の桁数")))</f>
        <v/>
      </c>
      <c r="AW21" s="98" t="str">
        <f t="shared" ca="1" si="5"/>
        <v/>
      </c>
      <c r="AX21" s="98" t="str">
        <f t="shared" ca="1" si="6"/>
        <v/>
      </c>
      <c r="AY21" s="98" t="str">
        <f t="shared" ca="1" si="7"/>
        <v/>
      </c>
      <c r="AZ21" s="98" t="str">
        <f t="shared" ca="1" si="8"/>
        <v/>
      </c>
      <c r="BA21" s="98" t="str">
        <f t="shared" ca="1" si="9"/>
        <v/>
      </c>
      <c r="BB21" s="98" t="str">
        <f>IF($X21="", "",
        IF($X21=マスタ!$F$3,
             IF($Y21="", "未入力", "（正常）規定値"),
                  IF($X21=マスタ!$F$4,
                       IF($Y21&lt;&gt;入力不可用2, "（エラー）値入力不可", "（正常）規定値"))))</f>
        <v/>
      </c>
      <c r="BD21" s="75" t="str">
        <f t="shared" si="10"/>
        <v/>
      </c>
      <c r="BE21" s="75"/>
      <c r="BF21" s="75"/>
      <c r="BG21" s="75"/>
      <c r="BH21" s="75"/>
      <c r="BI21" s="75"/>
      <c r="BJ21" s="75"/>
      <c r="BK21" s="75"/>
      <c r="BL21" s="75"/>
      <c r="BM21" s="75"/>
      <c r="BN21" s="75"/>
      <c r="BO21" s="75"/>
    </row>
    <row r="22" spans="3:67" ht="30" customHeight="1">
      <c r="C22" s="69" t="str" cm="1">
        <f t="array" aca="1" ref="C22" ca="1">IF(SUMPRODUCT(--($D22:$AR22 &lt;&gt; "")),RIGHT(YEAR(TODAY()),2)&amp;"02"&amp;REPT("0",4-LEN(ROW()-11))&amp;ROW()-11,"")</f>
        <v/>
      </c>
      <c r="D22" s="141"/>
      <c r="E22" s="141"/>
      <c r="F22" s="141"/>
      <c r="G22" s="71"/>
      <c r="H22" s="66"/>
      <c r="I22" s="41" t="str">
        <f>IFERROR(VLOOKUP(H22,マスタ!$D$3:$E$55,2,FALSE),"")</f>
        <v/>
      </c>
      <c r="J22" s="93"/>
      <c r="K22" s="77"/>
      <c r="L22" s="66"/>
      <c r="M22" s="137"/>
      <c r="N22" s="101" t="str">
        <f>IF($G22=マスタ!$J$11, $BG$9,
        IF($M22="", "",
             IF($M22&lt;=$BH$9, $BE$9, $BF$9)))</f>
        <v/>
      </c>
      <c r="O22" s="101" t="str">
        <f>IF($G22=マスタ!$J$11, $BG$9,
        IF($M22="", "",
             IF($M22&lt;=$BH$9, $BE$9, $BF$9)))</f>
        <v/>
      </c>
      <c r="P22" s="138"/>
      <c r="Q22" s="138"/>
      <c r="R22" s="139" t="s">
        <v>277</v>
      </c>
      <c r="S22" s="41" t="str">
        <f t="shared" si="2"/>
        <v/>
      </c>
      <c r="T22" s="129" t="str">
        <f t="shared" si="3"/>
        <v/>
      </c>
      <c r="U22" s="138"/>
      <c r="V22" s="139" t="s">
        <v>277</v>
      </c>
      <c r="W22" s="66"/>
      <c r="X22" s="68"/>
      <c r="Y22" s="68"/>
      <c r="Z22" s="71"/>
      <c r="AA22" s="165"/>
      <c r="AB22" s="71"/>
      <c r="AC22" s="165"/>
      <c r="AD22" s="92"/>
      <c r="AE22" s="92"/>
      <c r="AF22" s="92"/>
      <c r="AG22" s="92"/>
      <c r="AH22" s="121"/>
      <c r="AI22" s="121"/>
      <c r="AJ22" s="121"/>
      <c r="AK22" s="121"/>
      <c r="AL22" s="92"/>
      <c r="AM22" s="130" t="str">
        <f t="shared" si="4"/>
        <v/>
      </c>
      <c r="AN22" s="121"/>
      <c r="AO22" s="101" t="str">
        <f>IF(OR(SUMPRODUCT(--(AG22:AN22&lt;&gt;""))&lt;7,AND($AG22=マスタ!$N$3,$AH22="")),"",
             IF($AH22&lt;10, $BG$9,
                  IF(AND(SUM($AI22,$AJ22,$AM22,$AN22)&gt;=($AH22*0.2),
                                $AJ22+$AM22+$AN22&gt;=1),
                       $BE$9,$BF$9)))</f>
        <v/>
      </c>
      <c r="AP22" s="101" t="str">
        <f>IF(OR(SUMPRODUCT(--(AG22:AN22&lt;&gt;""))&lt;7,AND($AG22=マスタ!$N$3,$AH22="")),"",
      IF($AO22=$BF$9,$BF$9,
        IF($AG22=マスタ!$N$5, $BG$9,
              IF($AH22&lt;5, IF($AN22&gt;=1, $BE$9, $BF$9),
                   IF(OR($AN22&gt;=1,
                               AND(SUM($AI22+$AJ22+$AM22+$AN22)&gt;=($AH22*0.5),
                                         ($AJ22+$AM22+$AN22)&gt;=($AH22*0.2))),
                        $BE$9,$BF$9)))))</f>
        <v/>
      </c>
      <c r="AQ22" s="66"/>
      <c r="AR22" s="143"/>
      <c r="AT22" s="98" t="str" cm="1">
        <f t="array" aca="1" ref="AT22" ca="1">IF(AND($G22:$H22&lt;&gt;"", $J22:$L22&lt;&gt;"",
                 IF($G22=マスタ!$J$11, TRUE, $M22&lt;&gt;""),
                 $R22&lt;&gt;"", $W22:$X22&lt;&gt;"",
                 IF($X22=マスタ!$F$4, TRUE, $Y22&lt;&gt;""),
                 $AD22:$AL22&lt;&gt;"", $AN22&lt;&gt;"", $AQ22&lt;&gt;""),
        "（正常）入力済み", IF($C22= "", "（複数入力）未入力", "（エラー）一部未入力"))</f>
        <v>（複数入力）未入力</v>
      </c>
      <c r="AU22" s="98" t="str">
        <f ca="1">IF($C22="", "",
              IF($G22=マスタ!$J$11, IF($M22="", "（正常）規定値", "（エラー）値入力不可"),
                   IF($M22="", "未入力","（正常）規定値")))</f>
        <v/>
      </c>
      <c r="AV22" s="98" t="str">
        <f ca="1">IF($C22="", "", IF(M22="",IF($G22=マスタ!$J$11, "（正常）入力不要", "未入力"),
        IF(LEN(
                      MID(M22,FIND(".",M22&amp;".")+1,LEN(M22))
                     )&gt;2, "（エラー）小数第3位以下切り上げ要", "（正常）規定内の桁数")))</f>
        <v/>
      </c>
      <c r="AW22" s="98" t="str">
        <f t="shared" ref="AW22:AW26" ca="1" si="11">IF($C22="", "", IF(P22="","未入力",
        IF(LEN(
                      MID(P22,FIND(".",P22&amp;".")+1,LEN(P22))
                     )&gt;1, "（エラー）小数第2位以下切り上げ要", "（正常）規定内の桁数")))</f>
        <v/>
      </c>
      <c r="AX22" s="98" t="str">
        <f t="shared" ref="AX22:AX26" ca="1" si="12">IF($C22="", "", IF(Q22="","未入力",
        IF(LEN(
                      MID(Q22,FIND(".",Q22&amp;".")+1,LEN(Q22))
                     )&gt;1, "（エラー）小数第2位以下切り上げ要", "（正常）規定内の桁数")))</f>
        <v/>
      </c>
      <c r="AY22" s="98" t="str">
        <f t="shared" ref="AY22:AY26" ca="1" si="13">IF($C22="", "", IF(R22="","未入力",
        IF(LEN(
                      MID(R22,FIND(".",R22&amp;".")+1,LEN(R22))
                     )&gt;2, "（エラー）小数第3位以下切り上げ要", "（正常）規定内の桁数")))</f>
        <v/>
      </c>
      <c r="AZ22" s="98" t="str">
        <f t="shared" ref="AZ22:AZ26" ca="1" si="14">IF($C22="", "", IF(U22="","未入力",
        IF(LEN(
                      MID(U22,FIND(".",U22&amp;".")+1,LEN(U22))
                     )&gt;1, "（エラー）小数第2位以下切り上げ要", "（正常）規定内の桁数")))</f>
        <v/>
      </c>
      <c r="BA22" s="98" t="str">
        <f t="shared" ref="BA22:BA26" ca="1" si="15">IF($C22="", "", IF(V22="","未入力",
        IF(LEN(
                      MID(V22,FIND(".",V22&amp;".")+1,LEN(V22))
                     )&gt;2, "（エラー）小数第3位以下切り上げ要", "（正常）規定内の桁数")))</f>
        <v/>
      </c>
      <c r="BB22" s="98" t="str">
        <f>IF($X22="", "",
        IF($X22=マスタ!$F$3,
             IF($Y22="", "未入力", "（正常）規定値"),
                  IF($X22=マスタ!$F$4,
                       IF($Y22&lt;&gt;入力不可用2, "（エラー）値入力不可", "（正常）規定値"))))</f>
        <v/>
      </c>
      <c r="BD22" s="75" t="str">
        <f t="shared" si="10"/>
        <v/>
      </c>
      <c r="BE22" s="75"/>
      <c r="BF22" s="75"/>
      <c r="BG22" s="75"/>
      <c r="BH22" s="75"/>
      <c r="BI22" s="75"/>
      <c r="BJ22" s="75"/>
      <c r="BK22" s="75"/>
      <c r="BL22" s="75"/>
      <c r="BM22" s="75"/>
      <c r="BN22" s="75"/>
      <c r="BO22" s="75"/>
    </row>
    <row r="23" spans="3:67" ht="30" customHeight="1">
      <c r="C23" s="69" t="str" cm="1">
        <f t="array" aca="1" ref="C23" ca="1">IF(SUMPRODUCT(--($D23:$AR23 &lt;&gt; "")),RIGHT(YEAR(TODAY()),2)&amp;"02"&amp;REPT("0",4-LEN(ROW()-11))&amp;ROW()-11,"")</f>
        <v/>
      </c>
      <c r="D23" s="141"/>
      <c r="E23" s="141"/>
      <c r="F23" s="141"/>
      <c r="G23" s="71"/>
      <c r="H23" s="66"/>
      <c r="I23" s="41" t="str">
        <f>IFERROR(VLOOKUP(H23,マスタ!$D$3:$E$55,2,FALSE),"")</f>
        <v/>
      </c>
      <c r="J23" s="93"/>
      <c r="K23" s="77"/>
      <c r="L23" s="66"/>
      <c r="M23" s="137"/>
      <c r="N23" s="101" t="str">
        <f>IF($G23=マスタ!$J$11, $BG$9,
        IF($M23="", "",
             IF($M23&lt;=$BH$9, $BE$9, $BF$9)))</f>
        <v/>
      </c>
      <c r="O23" s="101" t="str">
        <f>IF($G23=マスタ!$J$11, $BG$9,
        IF($M23="", "",
             IF($M23&lt;=$BH$9, $BE$9, $BF$9)))</f>
        <v/>
      </c>
      <c r="P23" s="138"/>
      <c r="Q23" s="138"/>
      <c r="R23" s="139" t="s">
        <v>277</v>
      </c>
      <c r="S23" s="41" t="str">
        <f t="shared" si="2"/>
        <v/>
      </c>
      <c r="T23" s="129" t="str">
        <f t="shared" si="3"/>
        <v/>
      </c>
      <c r="U23" s="138"/>
      <c r="V23" s="139" t="s">
        <v>277</v>
      </c>
      <c r="W23" s="66"/>
      <c r="X23" s="68"/>
      <c r="Y23" s="68"/>
      <c r="Z23" s="71"/>
      <c r="AA23" s="165"/>
      <c r="AB23" s="71"/>
      <c r="AC23" s="165"/>
      <c r="AD23" s="92"/>
      <c r="AE23" s="92"/>
      <c r="AF23" s="92"/>
      <c r="AG23" s="92"/>
      <c r="AH23" s="121"/>
      <c r="AI23" s="121"/>
      <c r="AJ23" s="121"/>
      <c r="AK23" s="121"/>
      <c r="AL23" s="92"/>
      <c r="AM23" s="130" t="str">
        <f t="shared" si="4"/>
        <v/>
      </c>
      <c r="AN23" s="121"/>
      <c r="AO23" s="101" t="str">
        <f>IF(OR(SUMPRODUCT(--(AG23:AN23&lt;&gt;""))&lt;7,AND($AG23=マスタ!$N$3,$AH23="")),"",
             IF($AH23&lt;10, $BG$9,
                  IF(AND(SUM($AI23,$AJ23,$AM23,$AN23)&gt;=($AH23*0.2),
                                $AJ23+$AM23+$AN23&gt;=1),
                       $BE$9,$BF$9)))</f>
        <v/>
      </c>
      <c r="AP23" s="101" t="str">
        <f>IF(OR(SUMPRODUCT(--(AG23:AN23&lt;&gt;""))&lt;7,AND($AG23=マスタ!$N$3,$AH23="")),"",
      IF($AO23=$BF$9,$BF$9,
        IF($AG23=マスタ!$N$5, $BG$9,
              IF($AH23&lt;5, IF($AN23&gt;=1, $BE$9, $BF$9),
                   IF(OR($AN23&gt;=1,
                               AND(SUM($AI23+$AJ23+$AM23+$AN23)&gt;=($AH23*0.5),
                                         ($AJ23+$AM23+$AN23)&gt;=($AH23*0.2))),
                        $BE$9,$BF$9)))))</f>
        <v/>
      </c>
      <c r="AQ23" s="66"/>
      <c r="AR23" s="143"/>
      <c r="AT23" s="98" t="str" cm="1">
        <f t="array" aca="1" ref="AT23" ca="1">IF(AND($G23:$H23&lt;&gt;"", $J23:$L23&lt;&gt;"",
                 IF($G23=マスタ!$J$11, TRUE, $M23&lt;&gt;""),
                 $R23&lt;&gt;"", $W23:$X23&lt;&gt;"",
                 IF($X23=マスタ!$F$4, TRUE, $Y23&lt;&gt;""),
                 $AD23:$AL23&lt;&gt;"", $AN23&lt;&gt;"", $AQ23&lt;&gt;""),
        "（正常）入力済み", IF($C23= "", "（複数入力）未入力", "（エラー）一部未入力"))</f>
        <v>（複数入力）未入力</v>
      </c>
      <c r="AU23" s="98" t="str">
        <f ca="1">IF($C23="", "",
              IF($G23=マスタ!$J$11, IF($M23="", "（正常）規定値", "（エラー）値入力不可"),
                   IF($M23="", "未入力","（正常）規定値")))</f>
        <v/>
      </c>
      <c r="AV23" s="98" t="str">
        <f ca="1">IF($C23="", "", IF(M23="",IF($G23=マスタ!$J$11, "（正常）入力不要", "未入力"),
        IF(LEN(
                      MID(M23,FIND(".",M23&amp;".")+1,LEN(M23))
                     )&gt;2, "（エラー）小数第3位以下切り上げ要", "（正常）規定内の桁数")))</f>
        <v/>
      </c>
      <c r="AW23" s="98" t="str">
        <f t="shared" ca="1" si="11"/>
        <v/>
      </c>
      <c r="AX23" s="98" t="str">
        <f t="shared" ca="1" si="12"/>
        <v/>
      </c>
      <c r="AY23" s="98" t="str">
        <f t="shared" ca="1" si="13"/>
        <v/>
      </c>
      <c r="AZ23" s="98" t="str">
        <f t="shared" ca="1" si="14"/>
        <v/>
      </c>
      <c r="BA23" s="98" t="str">
        <f t="shared" ca="1" si="15"/>
        <v/>
      </c>
      <c r="BB23" s="98" t="str">
        <f>IF($X23="", "",
        IF($X23=マスタ!$F$3,
             IF($Y23="", "未入力", "（正常）規定値"),
                  IF($X23=マスタ!$F$4,
                       IF($Y23&lt;&gt;入力不可用2, "（エラー）値入力不可", "（正常）規定値"))))</f>
        <v/>
      </c>
      <c r="BD23" s="75" t="str">
        <f t="shared" si="10"/>
        <v/>
      </c>
      <c r="BE23" s="75"/>
      <c r="BF23" s="75"/>
      <c r="BG23" s="75"/>
      <c r="BH23" s="75"/>
      <c r="BI23" s="75"/>
      <c r="BJ23" s="75"/>
      <c r="BK23" s="75"/>
      <c r="BL23" s="75"/>
      <c r="BM23" s="75"/>
      <c r="BN23" s="75"/>
      <c r="BO23" s="75"/>
    </row>
    <row r="24" spans="3:67" ht="30" customHeight="1">
      <c r="C24" s="69" t="str" cm="1">
        <f t="array" aca="1" ref="C24" ca="1">IF(SUMPRODUCT(--($D24:$AR24 &lt;&gt; "")),RIGHT(YEAR(TODAY()),2)&amp;"02"&amp;REPT("0",4-LEN(ROW()-11))&amp;ROW()-11,"")</f>
        <v/>
      </c>
      <c r="D24" s="141"/>
      <c r="E24" s="141"/>
      <c r="F24" s="141"/>
      <c r="G24" s="71"/>
      <c r="H24" s="66"/>
      <c r="I24" s="41" t="str">
        <f>IFERROR(VLOOKUP(H24,マスタ!$D$3:$E$55,2,FALSE),"")</f>
        <v/>
      </c>
      <c r="J24" s="93"/>
      <c r="K24" s="77"/>
      <c r="L24" s="66"/>
      <c r="M24" s="137"/>
      <c r="N24" s="101" t="str">
        <f>IF($G24=マスタ!$J$11, $BG$9,
        IF($M24="", "",
             IF($M24&lt;=$BH$9, $BE$9, $BF$9)))</f>
        <v/>
      </c>
      <c r="O24" s="101" t="str">
        <f>IF($G24=マスタ!$J$11, $BG$9,
        IF($M24="", "",
             IF($M24&lt;=$BH$9, $BE$9, $BF$9)))</f>
        <v/>
      </c>
      <c r="P24" s="138"/>
      <c r="Q24" s="138"/>
      <c r="R24" s="139" t="s">
        <v>277</v>
      </c>
      <c r="S24" s="41" t="str">
        <f t="shared" si="2"/>
        <v/>
      </c>
      <c r="T24" s="129" t="str">
        <f t="shared" si="3"/>
        <v/>
      </c>
      <c r="U24" s="138"/>
      <c r="V24" s="139" t="s">
        <v>277</v>
      </c>
      <c r="W24" s="66"/>
      <c r="X24" s="68"/>
      <c r="Y24" s="68"/>
      <c r="Z24" s="71"/>
      <c r="AA24" s="165"/>
      <c r="AB24" s="71"/>
      <c r="AC24" s="165"/>
      <c r="AD24" s="92"/>
      <c r="AE24" s="92"/>
      <c r="AF24" s="92"/>
      <c r="AG24" s="92"/>
      <c r="AH24" s="121"/>
      <c r="AI24" s="121"/>
      <c r="AJ24" s="121"/>
      <c r="AK24" s="121"/>
      <c r="AL24" s="92"/>
      <c r="AM24" s="130" t="str">
        <f t="shared" si="4"/>
        <v/>
      </c>
      <c r="AN24" s="121"/>
      <c r="AO24" s="101" t="str">
        <f>IF(OR(SUMPRODUCT(--(AG24:AN24&lt;&gt;""))&lt;7,AND($AG24=マスタ!$N$3,$AH24="")),"",
             IF($AH24&lt;10, $BG$9,
                  IF(AND(SUM($AI24,$AJ24,$AM24,$AN24)&gt;=($AH24*0.2),
                                $AJ24+$AM24+$AN24&gt;=1),
                       $BE$9,$BF$9)))</f>
        <v/>
      </c>
      <c r="AP24" s="101" t="str">
        <f>IF(OR(SUMPRODUCT(--(AG24:AN24&lt;&gt;""))&lt;7,AND($AG24=マスタ!$N$3,$AH24="")),"",
      IF($AO24=$BF$9,$BF$9,
        IF($AG24=マスタ!$N$5, $BG$9,
              IF($AH24&lt;5, IF($AN24&gt;=1, $BE$9, $BF$9),
                   IF(OR($AN24&gt;=1,
                               AND(SUM($AI24+$AJ24+$AM24+$AN24)&gt;=($AH24*0.5),
                                         ($AJ24+$AM24+$AN24)&gt;=($AH24*0.2))),
                        $BE$9,$BF$9)))))</f>
        <v/>
      </c>
      <c r="AQ24" s="66"/>
      <c r="AR24" s="143"/>
      <c r="AT24" s="98" t="str" cm="1">
        <f t="array" aca="1" ref="AT24" ca="1">IF(AND($G24:$H24&lt;&gt;"", $J24:$L24&lt;&gt;"",
                 IF($G24=マスタ!$J$11, TRUE, $M24&lt;&gt;""),
                 $R24&lt;&gt;"", $W24:$X24&lt;&gt;"",
                 IF($X24=マスタ!$F$4, TRUE, $Y24&lt;&gt;""),
                 $AD24:$AL24&lt;&gt;"", $AN24&lt;&gt;"", $AQ24&lt;&gt;""),
        "（正常）入力済み", IF($C24= "", "（複数入力）未入力", "（エラー）一部未入力"))</f>
        <v>（複数入力）未入力</v>
      </c>
      <c r="AU24" s="98" t="str">
        <f ca="1">IF($C24="", "",
              IF($G24=マスタ!$J$11, IF($M24="", "（正常）規定値", "（エラー）値入力不可"),
                   IF($M24="", "未入力","（正常）規定値")))</f>
        <v/>
      </c>
      <c r="AV24" s="98" t="str">
        <f ca="1">IF($C24="", "", IF(M24="",IF($G24=マスタ!$J$11, "（正常）入力不要", "未入力"),
        IF(LEN(
                      MID(M24,FIND(".",M24&amp;".")+1,LEN(M24))
                     )&gt;2, "（エラー）小数第3位以下切り上げ要", "（正常）規定内の桁数")))</f>
        <v/>
      </c>
      <c r="AW24" s="98" t="str">
        <f t="shared" ca="1" si="11"/>
        <v/>
      </c>
      <c r="AX24" s="98" t="str">
        <f t="shared" ca="1" si="12"/>
        <v/>
      </c>
      <c r="AY24" s="98" t="str">
        <f t="shared" ca="1" si="13"/>
        <v/>
      </c>
      <c r="AZ24" s="98" t="str">
        <f t="shared" ca="1" si="14"/>
        <v/>
      </c>
      <c r="BA24" s="98" t="str">
        <f t="shared" ca="1" si="15"/>
        <v/>
      </c>
      <c r="BB24" s="98" t="str">
        <f>IF($X24="", "",
        IF($X24=マスタ!$F$3,
             IF($Y24="", "未入力", "（正常）規定値"),
                  IF($X24=マスタ!$F$4,
                       IF($Y24&lt;&gt;入力不可用2, "（エラー）値入力不可", "（正常）規定値"))))</f>
        <v/>
      </c>
      <c r="BD24" s="75" t="str">
        <f t="shared" si="10"/>
        <v/>
      </c>
      <c r="BE24" s="75"/>
      <c r="BF24" s="75"/>
      <c r="BG24" s="75"/>
      <c r="BH24" s="75"/>
      <c r="BI24" s="75"/>
      <c r="BJ24" s="75"/>
      <c r="BK24" s="75"/>
      <c r="BL24" s="75"/>
      <c r="BM24" s="75"/>
      <c r="BN24" s="75"/>
      <c r="BO24" s="75"/>
    </row>
    <row r="25" spans="3:67" ht="30" customHeight="1">
      <c r="C25" s="69" t="str" cm="1">
        <f t="array" aca="1" ref="C25" ca="1">IF(SUMPRODUCT(--($D25:$AR25 &lt;&gt; "")),RIGHT(YEAR(TODAY()),2)&amp;"02"&amp;REPT("0",4-LEN(ROW()-11))&amp;ROW()-11,"")</f>
        <v/>
      </c>
      <c r="D25" s="141"/>
      <c r="E25" s="141"/>
      <c r="F25" s="141"/>
      <c r="G25" s="71"/>
      <c r="H25" s="66"/>
      <c r="I25" s="41" t="str">
        <f>IFERROR(VLOOKUP(H25,マスタ!$D$3:$E$55,2,FALSE),"")</f>
        <v/>
      </c>
      <c r="J25" s="93"/>
      <c r="K25" s="77"/>
      <c r="L25" s="66"/>
      <c r="M25" s="137"/>
      <c r="N25" s="101" t="str">
        <f>IF($G25=マスタ!$J$11, $BG$9,
        IF($M25="", "",
             IF($M25&lt;=$BH$9, $BE$9, $BF$9)))</f>
        <v/>
      </c>
      <c r="O25" s="101" t="str">
        <f>IF($G25=マスタ!$J$11, $BG$9,
        IF($M25="", "",
             IF($M25&lt;=$BH$9, $BE$9, $BF$9)))</f>
        <v/>
      </c>
      <c r="P25" s="138"/>
      <c r="Q25" s="138"/>
      <c r="R25" s="139" t="s">
        <v>277</v>
      </c>
      <c r="S25" s="41" t="str">
        <f t="shared" si="2"/>
        <v/>
      </c>
      <c r="T25" s="129" t="str">
        <f t="shared" si="3"/>
        <v/>
      </c>
      <c r="U25" s="138"/>
      <c r="V25" s="139" t="s">
        <v>277</v>
      </c>
      <c r="W25" s="66"/>
      <c r="X25" s="68"/>
      <c r="Y25" s="68"/>
      <c r="Z25" s="71"/>
      <c r="AA25" s="165"/>
      <c r="AB25" s="71"/>
      <c r="AC25" s="165"/>
      <c r="AD25" s="92"/>
      <c r="AE25" s="92"/>
      <c r="AF25" s="92"/>
      <c r="AG25" s="92"/>
      <c r="AH25" s="121"/>
      <c r="AI25" s="121"/>
      <c r="AJ25" s="121"/>
      <c r="AK25" s="121"/>
      <c r="AL25" s="92"/>
      <c r="AM25" s="130" t="str">
        <f t="shared" si="4"/>
        <v/>
      </c>
      <c r="AN25" s="121"/>
      <c r="AO25" s="101" t="str">
        <f>IF(OR(SUMPRODUCT(--(AG25:AN25&lt;&gt;""))&lt;7,AND($AG25=マスタ!$N$3,$AH25="")),"",
             IF($AH25&lt;10, $BG$9,
                  IF(AND(SUM($AI25,$AJ25,$AM25,$AN25)&gt;=($AH25*0.2),
                                $AJ25+$AM25+$AN25&gt;=1),
                       $BE$9,$BF$9)))</f>
        <v/>
      </c>
      <c r="AP25" s="101" t="str">
        <f>IF(OR(SUMPRODUCT(--(AG25:AN25&lt;&gt;""))&lt;7,AND($AG25=マスタ!$N$3,$AH25="")),"",
      IF($AO25=$BF$9,$BF$9,
        IF($AG25=マスタ!$N$5, $BG$9,
              IF($AH25&lt;5, IF($AN25&gt;=1, $BE$9, $BF$9),
                   IF(OR($AN25&gt;=1,
                               AND(SUM($AI25+$AJ25+$AM25+$AN25)&gt;=($AH25*0.5),
                                         ($AJ25+$AM25+$AN25)&gt;=($AH25*0.2))),
                        $BE$9,$BF$9)))))</f>
        <v/>
      </c>
      <c r="AQ25" s="66"/>
      <c r="AR25" s="143"/>
      <c r="AT25" s="98" t="str" cm="1">
        <f t="array" aca="1" ref="AT25" ca="1">IF(AND($G25:$H25&lt;&gt;"", $J25:$L25&lt;&gt;"",
                 IF($G25=マスタ!$J$11, TRUE, $M25&lt;&gt;""),
                 $R25&lt;&gt;"", $W25:$X25&lt;&gt;"",
                 IF($X25=マスタ!$F$4, TRUE, $Y25&lt;&gt;""),
                 $AD25:$AL25&lt;&gt;"", $AN25&lt;&gt;"", $AQ25&lt;&gt;""),
        "（正常）入力済み", IF($C25= "", "（複数入力）未入力", "（エラー）一部未入力"))</f>
        <v>（複数入力）未入力</v>
      </c>
      <c r="AU25" s="98" t="str">
        <f ca="1">IF($C25="", "",
              IF($G25=マスタ!$J$11, IF($M25="", "（正常）規定値", "（エラー）値入力不可"),
                   IF($M25="", "未入力","（正常）規定値")))</f>
        <v/>
      </c>
      <c r="AV25" s="98" t="str">
        <f ca="1">IF($C25="", "", IF(M25="",IF($G25=マスタ!$J$11, "（正常）入力不要", "未入力"),
        IF(LEN(
                      MID(M25,FIND(".",M25&amp;".")+1,LEN(M25))
                     )&gt;2, "（エラー）小数第3位以下切り上げ要", "（正常）規定内の桁数")))</f>
        <v/>
      </c>
      <c r="AW25" s="98" t="str">
        <f t="shared" ca="1" si="11"/>
        <v/>
      </c>
      <c r="AX25" s="98" t="str">
        <f t="shared" ca="1" si="12"/>
        <v/>
      </c>
      <c r="AY25" s="98" t="str">
        <f t="shared" ca="1" si="13"/>
        <v/>
      </c>
      <c r="AZ25" s="98" t="str">
        <f t="shared" ca="1" si="14"/>
        <v/>
      </c>
      <c r="BA25" s="98" t="str">
        <f t="shared" ca="1" si="15"/>
        <v/>
      </c>
      <c r="BB25" s="98" t="str">
        <f>IF($X25="", "",
        IF($X25=マスタ!$F$3,
             IF($Y25="", "未入力", "（正常）規定値"),
                  IF($X25=マスタ!$F$4,
                       IF($Y25&lt;&gt;入力不可用2, "（エラー）値入力不可", "（正常）規定値"))))</f>
        <v/>
      </c>
      <c r="BD25" s="75" t="str">
        <f t="shared" si="10"/>
        <v/>
      </c>
      <c r="BE25" s="75"/>
      <c r="BF25" s="75"/>
      <c r="BG25" s="75"/>
      <c r="BH25" s="75"/>
      <c r="BI25" s="75"/>
      <c r="BJ25" s="75"/>
      <c r="BK25" s="75"/>
      <c r="BL25" s="75"/>
      <c r="BM25" s="75"/>
      <c r="BN25" s="75"/>
      <c r="BO25" s="75"/>
    </row>
    <row r="26" spans="3:67" ht="30" customHeight="1">
      <c r="C26" s="69" t="str" cm="1">
        <f t="array" aca="1" ref="C26" ca="1">IF(SUMPRODUCT(--($D26:$AR26 &lt;&gt; "")),RIGHT(YEAR(TODAY()),2)&amp;"02"&amp;REPT("0",4-LEN(ROW()-11))&amp;ROW()-11,"")</f>
        <v/>
      </c>
      <c r="D26" s="141"/>
      <c r="E26" s="141"/>
      <c r="F26" s="141"/>
      <c r="G26" s="71"/>
      <c r="H26" s="66"/>
      <c r="I26" s="41" t="str">
        <f>IFERROR(VLOOKUP(H26,マスタ!$D$3:$E$55,2,FALSE),"")</f>
        <v/>
      </c>
      <c r="J26" s="93"/>
      <c r="K26" s="77"/>
      <c r="L26" s="66"/>
      <c r="M26" s="137"/>
      <c r="N26" s="101" t="str">
        <f>IF($G26=マスタ!$J$11, $BG$9,
        IF($M26="", "",
             IF($M26&lt;=$BH$9, $BE$9, $BF$9)))</f>
        <v/>
      </c>
      <c r="O26" s="101" t="str">
        <f>IF($G26=マスタ!$J$11, $BG$9,
        IF($M26="", "",
             IF($M26&lt;=$BH$9, $BE$9, $BF$9)))</f>
        <v/>
      </c>
      <c r="P26" s="138"/>
      <c r="Q26" s="138"/>
      <c r="R26" s="139" t="s">
        <v>277</v>
      </c>
      <c r="S26" s="41" t="str">
        <f t="shared" si="2"/>
        <v/>
      </c>
      <c r="T26" s="129" t="str">
        <f t="shared" si="3"/>
        <v/>
      </c>
      <c r="U26" s="138"/>
      <c r="V26" s="139" t="s">
        <v>277</v>
      </c>
      <c r="W26" s="66"/>
      <c r="X26" s="68"/>
      <c r="Y26" s="68"/>
      <c r="Z26" s="71"/>
      <c r="AA26" s="165"/>
      <c r="AB26" s="71"/>
      <c r="AC26" s="165"/>
      <c r="AD26" s="92"/>
      <c r="AE26" s="92"/>
      <c r="AF26" s="92"/>
      <c r="AG26" s="92"/>
      <c r="AH26" s="121"/>
      <c r="AI26" s="121"/>
      <c r="AJ26" s="121"/>
      <c r="AK26" s="121"/>
      <c r="AL26" s="92"/>
      <c r="AM26" s="130" t="str">
        <f t="shared" si="4"/>
        <v/>
      </c>
      <c r="AN26" s="121"/>
      <c r="AO26" s="101" t="str">
        <f>IF(OR(SUMPRODUCT(--(AG26:AN26&lt;&gt;""))&lt;7,AND($AG26=マスタ!$N$3,$AH26="")),"",
             IF($AH26&lt;10, $BG$9,
                  IF(AND(SUM($AI26,$AJ26,$AM26,$AN26)&gt;=($AH26*0.2),
                                $AJ26+$AM26+$AN26&gt;=1),
                       $BE$9,$BF$9)))</f>
        <v/>
      </c>
      <c r="AP26" s="101" t="str">
        <f>IF(OR(SUMPRODUCT(--(AG26:AN26&lt;&gt;""))&lt;7,AND($AG26=マスタ!$N$3,$AH26="")),"",
      IF($AO26=$BF$9,$BF$9,
        IF($AG26=マスタ!$N$5, $BG$9,
              IF($AH26&lt;5, IF($AN26&gt;=1, $BE$9, $BF$9),
                   IF(OR($AN26&gt;=1,
                               AND(SUM($AI26+$AJ26+$AM26+$AN26)&gt;=($AH26*0.5),
                                         ($AJ26+$AM26+$AN26)&gt;=($AH26*0.2))),
                        $BE$9,$BF$9)))))</f>
        <v/>
      </c>
      <c r="AQ26" s="66"/>
      <c r="AR26" s="143"/>
      <c r="AT26" s="98" t="str" cm="1">
        <f t="array" aca="1" ref="AT26" ca="1">IF(AND($G26:$H26&lt;&gt;"", $J26:$L26&lt;&gt;"",
                 IF($G26=マスタ!$J$11, TRUE, $M26&lt;&gt;""),
                 $R26&lt;&gt;"", $W26:$X26&lt;&gt;"",
                 IF($X26=マスタ!$F$4, TRUE, $Y26&lt;&gt;""),
                 $AD26:$AL26&lt;&gt;"", $AN26&lt;&gt;"", $AQ26&lt;&gt;""),
        "（正常）入力済み", IF($C26= "", "（複数入力）未入力", "（エラー）一部未入力"))</f>
        <v>（複数入力）未入力</v>
      </c>
      <c r="AU26" s="98" t="str">
        <f ca="1">IF($C26="", "",
              IF($G26=マスタ!$J$11, IF($M26="", "（正常）規定値", "（エラー）値入力不可"),
                   IF($M26="", "未入力","（正常）規定値")))</f>
        <v/>
      </c>
      <c r="AV26" s="98" t="str">
        <f ca="1">IF($C26="", "", IF(M26="",IF($G26=マスタ!$J$11, "（正常）入力不要", "未入力"),
        IF(LEN(
                      MID(M26,FIND(".",M26&amp;".")+1,LEN(M26))
                     )&gt;2, "（エラー）小数第3位以下切り上げ要", "（正常）規定内の桁数")))</f>
        <v/>
      </c>
      <c r="AW26" s="98" t="str">
        <f t="shared" ca="1" si="11"/>
        <v/>
      </c>
      <c r="AX26" s="98" t="str">
        <f t="shared" ca="1" si="12"/>
        <v/>
      </c>
      <c r="AY26" s="98" t="str">
        <f t="shared" ca="1" si="13"/>
        <v/>
      </c>
      <c r="AZ26" s="98" t="str">
        <f t="shared" ca="1" si="14"/>
        <v/>
      </c>
      <c r="BA26" s="98" t="str">
        <f t="shared" ca="1" si="15"/>
        <v/>
      </c>
      <c r="BB26" s="98" t="str">
        <f>IF($X26="", "",
        IF($X26=マスタ!$F$3,
             IF($Y26="", "未入力", "（正常）規定値"),
                  IF($X26=マスタ!$F$4,
                       IF($Y26&lt;&gt;入力不可用2, "（エラー）値入力不可", "（正常）規定値"))))</f>
        <v/>
      </c>
      <c r="BD26" s="75" t="str">
        <f t="shared" si="10"/>
        <v/>
      </c>
      <c r="BE26" s="75"/>
      <c r="BF26" s="75"/>
      <c r="BG26" s="75"/>
      <c r="BH26" s="75"/>
      <c r="BI26" s="75"/>
      <c r="BJ26" s="75"/>
      <c r="BK26" s="75"/>
      <c r="BL26" s="75"/>
      <c r="BM26" s="75"/>
      <c r="BN26" s="75"/>
      <c r="BO26" s="75"/>
    </row>
    <row r="27" spans="3:67" ht="30" customHeight="1">
      <c r="C27" s="69" t="str" cm="1">
        <f t="array" aca="1" ref="C27" ca="1">IF(SUMPRODUCT(--($D27:$AR27 &lt;&gt; "")),RIGHT(YEAR(TODAY()),2)&amp;"02"&amp;REPT("0",4-LEN(ROW()-11))&amp;ROW()-11,"")</f>
        <v/>
      </c>
      <c r="D27" s="141"/>
      <c r="E27" s="141"/>
      <c r="F27" s="141"/>
      <c r="G27" s="71"/>
      <c r="H27" s="66"/>
      <c r="I27" s="41" t="str">
        <f>IFERROR(VLOOKUP(H27,マスタ!$D$3:$E$55,2,FALSE),"")</f>
        <v/>
      </c>
      <c r="J27" s="93"/>
      <c r="K27" s="77"/>
      <c r="L27" s="66"/>
      <c r="M27" s="137"/>
      <c r="N27" s="101" t="str">
        <f>IF($G27=マスタ!$J$11, $BG$9,
        IF($M27="", "",
             IF($M27&lt;=$BH$9, $BE$9, $BF$9)))</f>
        <v/>
      </c>
      <c r="O27" s="101" t="str">
        <f>IF($G27=マスタ!$J$11, $BG$9,
        IF($M27="", "",
             IF($M27&lt;=$BH$9, $BE$9, $BF$9)))</f>
        <v/>
      </c>
      <c r="P27" s="138"/>
      <c r="Q27" s="138"/>
      <c r="R27" s="139"/>
      <c r="S27" s="41" t="str">
        <f t="shared" si="2"/>
        <v/>
      </c>
      <c r="T27" s="129" t="str">
        <f t="shared" si="3"/>
        <v/>
      </c>
      <c r="U27" s="138"/>
      <c r="V27" s="139"/>
      <c r="W27" s="66"/>
      <c r="X27" s="68"/>
      <c r="Y27" s="68"/>
      <c r="Z27" s="71"/>
      <c r="AA27" s="165"/>
      <c r="AB27" s="71"/>
      <c r="AC27" s="165"/>
      <c r="AD27" s="92"/>
      <c r="AE27" s="92"/>
      <c r="AF27" s="92"/>
      <c r="AG27" s="92"/>
      <c r="AH27" s="121"/>
      <c r="AI27" s="121"/>
      <c r="AJ27" s="121"/>
      <c r="AK27" s="121"/>
      <c r="AL27" s="92"/>
      <c r="AM27" s="130" t="str">
        <f t="shared" si="4"/>
        <v/>
      </c>
      <c r="AN27" s="121"/>
      <c r="AO27" s="101" t="str">
        <f>IF(OR(SUMPRODUCT(--(AG27:AN27&lt;&gt;""))&lt;7,AND($AG27=マスタ!$N$3,$AH27="")),"",
             IF($AH27&lt;10, $BG$9,
                  IF(AND(SUM($AI27,$AJ27,$AM27,$AN27)&gt;=($AH27*0.2),
                                $AJ27+$AM27+$AN27&gt;=1),
                       $BE$9,$BF$9)))</f>
        <v/>
      </c>
      <c r="AP27" s="101" t="str">
        <f>IF(OR(SUMPRODUCT(--(AG27:AN27&lt;&gt;""))&lt;7,AND($AG27=マスタ!$N$3,$AH27="")),"",
      IF($AO27=$BF$9,$BF$9,
        IF($AG27=マスタ!$N$5, $BG$9,
              IF($AH27&lt;5, IF($AN27&gt;=1, $BE$9, $BF$9),
                   IF(OR($AN27&gt;=1,
                               AND(SUM($AI27+$AJ27+$AM27+$AN27)&gt;=($AH27*0.5),
                                         ($AJ27+$AM27+$AN27)&gt;=($AH27*0.2))),
                        $BE$9,$BF$9)))))</f>
        <v/>
      </c>
      <c r="AQ27" s="66"/>
      <c r="AR27" s="143"/>
      <c r="AT27" s="98" t="str" cm="1">
        <f t="array" aca="1" ref="AT27" ca="1">IF(AND($G27:$H27&lt;&gt;"", $J27:$L27&lt;&gt;"",
                 IF($G27=マスタ!$J$11, TRUE, $M27&lt;&gt;""),
                 $R27&lt;&gt;"", $W27:$X27&lt;&gt;"",
                 IF($X27=マスタ!$F$4, TRUE, $Y27&lt;&gt;""),
                 $AD27:$AL27&lt;&gt;"", $AN27&lt;&gt;"", $AQ27&lt;&gt;""),
        "（正常）入力済み", IF($C27= "", "（複数入力）未入力", "（エラー）一部未入力"))</f>
        <v>（複数入力）未入力</v>
      </c>
      <c r="AU27" s="98" t="str">
        <f ca="1">IF($C27="", "",
              IF($G27=マスタ!$J$11, IF($M27="", "（正常）規定値", "（エラー）値入力不可"),
                   IF($M27="", "未入力","（正常）規定値")))</f>
        <v/>
      </c>
      <c r="AV27" s="98" t="str">
        <f ca="1">IF($C27="", "", IF(M27="",IF($G27=マスタ!$J$11, "（正常）入力不要", "未入力"),
        IF(LEN(
                      MID(M27,FIND(".",M27&amp;".")+1,LEN(M27))
                     )&gt;2, "（エラー）小数第3位以下切り上げ要", "（正常）規定内の桁数")))</f>
        <v/>
      </c>
      <c r="AW27" s="98" t="str">
        <f t="shared" ref="AW27:AW41" ca="1" si="16">IF($C27="", "", IF(P27="","未入力",
        IF(LEN(
                      MID(P27,FIND(".",P27&amp;".")+1,LEN(P27))
                     )&gt;1, "（エラー）小数第2位以下切り上げ要", "（正常）規定内の桁数")))</f>
        <v/>
      </c>
      <c r="AX27" s="98" t="str">
        <f t="shared" ref="AX27:AX41" ca="1" si="17">IF($C27="", "", IF(Q27="","未入力",
        IF(LEN(
                      MID(Q27,FIND(".",Q27&amp;".")+1,LEN(Q27))
                     )&gt;1, "（エラー）小数第2位以下切り上げ要", "（正常）規定内の桁数")))</f>
        <v/>
      </c>
      <c r="AY27" s="98" t="str">
        <f t="shared" ref="AY27:AY41" ca="1" si="18">IF($C27="", "", IF(R27="","未入力",
        IF(LEN(
                      MID(R27,FIND(".",R27&amp;".")+1,LEN(R27))
                     )&gt;2, "（エラー）小数第3位以下切り上げ要", "（正常）規定内の桁数")))</f>
        <v/>
      </c>
      <c r="AZ27" s="98" t="str">
        <f t="shared" ref="AZ27:AZ41" ca="1" si="19">IF($C27="", "", IF(U27="","未入力",
        IF(LEN(
                      MID(U27,FIND(".",U27&amp;".")+1,LEN(U27))
                     )&gt;1, "（エラー）小数第2位以下切り上げ要", "（正常）規定内の桁数")))</f>
        <v/>
      </c>
      <c r="BA27" s="98" t="str">
        <f t="shared" ref="BA27:BA41" ca="1" si="20">IF($C27="", "", IF(V27="","未入力",
        IF(LEN(
                      MID(V27,FIND(".",V27&amp;".")+1,LEN(V27))
                     )&gt;2, "（エラー）小数第3位以下切り上げ要", "（正常）規定内の桁数")))</f>
        <v/>
      </c>
      <c r="BB27" s="98" t="str">
        <f>IF($X27="", "",
        IF($X27=マスタ!$F$3,
             IF($Y27="", "未入力", "（正常）規定値"),
                  IF($X27=マスタ!$F$4,
                       IF($Y27&lt;&gt;入力不可用2, "（エラー）値入力不可", "（正常）規定値"))))</f>
        <v/>
      </c>
      <c r="BD27" s="75" t="str">
        <f t="shared" si="10"/>
        <v/>
      </c>
      <c r="BE27" s="75"/>
      <c r="BF27" s="75"/>
      <c r="BG27" s="75"/>
      <c r="BH27" s="75"/>
      <c r="BI27" s="75"/>
      <c r="BJ27" s="75"/>
      <c r="BK27" s="75"/>
      <c r="BL27" s="75"/>
      <c r="BM27" s="75"/>
      <c r="BN27" s="75"/>
      <c r="BO27" s="75"/>
    </row>
    <row r="28" spans="3:67" ht="30" customHeight="1">
      <c r="C28" s="69" t="str" cm="1">
        <f t="array" aca="1" ref="C28" ca="1">IF(SUMPRODUCT(--($D28:$AR28 &lt;&gt; "")),RIGHT(YEAR(TODAY()),2)&amp;"02"&amp;REPT("0",4-LEN(ROW()-11))&amp;ROW()-11,"")</f>
        <v/>
      </c>
      <c r="D28" s="141"/>
      <c r="E28" s="141"/>
      <c r="F28" s="141"/>
      <c r="G28" s="71"/>
      <c r="H28" s="66"/>
      <c r="I28" s="41" t="str">
        <f>IFERROR(VLOOKUP(H28,マスタ!$D$3:$E$55,2,FALSE),"")</f>
        <v/>
      </c>
      <c r="J28" s="93"/>
      <c r="K28" s="77"/>
      <c r="L28" s="66"/>
      <c r="M28" s="137"/>
      <c r="N28" s="101" t="str">
        <f>IF($G28=マスタ!$J$11, $BG$9,
        IF($M28="", "",
             IF($M28&lt;=$BH$9, $BE$9, $BF$9)))</f>
        <v/>
      </c>
      <c r="O28" s="101" t="str">
        <f>IF($G28=マスタ!$J$11, $BG$9,
        IF($M28="", "",
             IF($M28&lt;=$BH$9, $BE$9, $BF$9)))</f>
        <v/>
      </c>
      <c r="P28" s="138"/>
      <c r="Q28" s="138"/>
      <c r="R28" s="139"/>
      <c r="S28" s="41" t="str">
        <f t="shared" si="2"/>
        <v/>
      </c>
      <c r="T28" s="129" t="str">
        <f t="shared" si="3"/>
        <v/>
      </c>
      <c r="U28" s="138"/>
      <c r="V28" s="139"/>
      <c r="W28" s="66"/>
      <c r="X28" s="68"/>
      <c r="Y28" s="68"/>
      <c r="Z28" s="71"/>
      <c r="AA28" s="165"/>
      <c r="AB28" s="71"/>
      <c r="AC28" s="165"/>
      <c r="AD28" s="92"/>
      <c r="AE28" s="92"/>
      <c r="AF28" s="92"/>
      <c r="AG28" s="92"/>
      <c r="AH28" s="121"/>
      <c r="AI28" s="121"/>
      <c r="AJ28" s="121"/>
      <c r="AK28" s="121"/>
      <c r="AL28" s="92"/>
      <c r="AM28" s="130" t="str">
        <f t="shared" si="4"/>
        <v/>
      </c>
      <c r="AN28" s="121"/>
      <c r="AO28" s="101" t="str">
        <f>IF(OR(SUMPRODUCT(--(AG28:AN28&lt;&gt;""))&lt;7,AND($AG28=マスタ!$N$3,$AH28="")),"",
             IF($AH28&lt;10, $BG$9,
                  IF(AND(SUM($AI28,$AJ28,$AM28,$AN28)&gt;=($AH28*0.2),
                                $AJ28+$AM28+$AN28&gt;=1),
                       $BE$9,$BF$9)))</f>
        <v/>
      </c>
      <c r="AP28" s="101" t="str">
        <f>IF(OR(SUMPRODUCT(--(AG28:AN28&lt;&gt;""))&lt;7,AND($AG28=マスタ!$N$3,$AH28="")),"",
      IF($AO28=$BF$9,$BF$9,
        IF($AG28=マスタ!$N$5, $BG$9,
              IF($AH28&lt;5, IF($AN28&gt;=1, $BE$9, $BF$9),
                   IF(OR($AN28&gt;=1,
                               AND(SUM($AI28+$AJ28+$AM28+$AN28)&gt;=($AH28*0.5),
                                         ($AJ28+$AM28+$AN28)&gt;=($AH28*0.2))),
                        $BE$9,$BF$9)))))</f>
        <v/>
      </c>
      <c r="AQ28" s="66"/>
      <c r="AR28" s="143"/>
      <c r="AT28" s="98" t="str" cm="1">
        <f t="array" aca="1" ref="AT28" ca="1">IF(AND($G28:$H28&lt;&gt;"", $J28:$L28&lt;&gt;"",
                 IF($G28=マスタ!$J$11, TRUE, $M28&lt;&gt;""),
                 $R28&lt;&gt;"", $W28:$X28&lt;&gt;"",
                 IF($X28=マスタ!$F$4, TRUE, $Y28&lt;&gt;""),
                 $AD28:$AL28&lt;&gt;"", $AN28&lt;&gt;"", $AQ28&lt;&gt;""),
        "（正常）入力済み", IF($C28= "", "（複数入力）未入力", "（エラー）一部未入力"))</f>
        <v>（複数入力）未入力</v>
      </c>
      <c r="AU28" s="98" t="str">
        <f ca="1">IF($C28="", "",
              IF($G28=マスタ!$J$11, IF($M28="", "（正常）規定値", "（エラー）値入力不可"),
                   IF($M28="", "未入力","（正常）規定値")))</f>
        <v/>
      </c>
      <c r="AV28" s="98" t="str">
        <f ca="1">IF($C28="", "", IF(M28="",IF($G28=マスタ!$J$11, "（正常）入力不要", "未入力"),
        IF(LEN(
                      MID(M28,FIND(".",M28&amp;".")+1,LEN(M28))
                     )&gt;2, "（エラー）小数第3位以下切り上げ要", "（正常）規定内の桁数")))</f>
        <v/>
      </c>
      <c r="AW28" s="98" t="str">
        <f t="shared" ca="1" si="16"/>
        <v/>
      </c>
      <c r="AX28" s="98" t="str">
        <f t="shared" ca="1" si="17"/>
        <v/>
      </c>
      <c r="AY28" s="98" t="str">
        <f t="shared" ca="1" si="18"/>
        <v/>
      </c>
      <c r="AZ28" s="98" t="str">
        <f t="shared" ca="1" si="19"/>
        <v/>
      </c>
      <c r="BA28" s="98" t="str">
        <f t="shared" ca="1" si="20"/>
        <v/>
      </c>
      <c r="BB28" s="98" t="str">
        <f>IF($X28="", "",
        IF($X28=マスタ!$F$3,
             IF($Y28="", "未入力", "（正常）規定値"),
                  IF($X28=マスタ!$F$4,
                       IF($Y28&lt;&gt;入力不可用2, "（エラー）値入力不可", "（正常）規定値"))))</f>
        <v/>
      </c>
      <c r="BD28" s="75" t="str">
        <f t="shared" si="10"/>
        <v/>
      </c>
      <c r="BE28" s="75"/>
      <c r="BF28" s="75"/>
      <c r="BG28" s="75"/>
      <c r="BH28" s="75"/>
      <c r="BI28" s="75"/>
      <c r="BJ28" s="75"/>
      <c r="BK28" s="75"/>
      <c r="BL28" s="75"/>
      <c r="BM28" s="75"/>
      <c r="BN28" s="75"/>
      <c r="BO28" s="75"/>
    </row>
    <row r="29" spans="3:67" ht="30" customHeight="1">
      <c r="C29" s="69" t="str" cm="1">
        <f t="array" aca="1" ref="C29" ca="1">IF(SUMPRODUCT(--($D29:$AR29 &lt;&gt; "")),RIGHT(YEAR(TODAY()),2)&amp;"02"&amp;REPT("0",4-LEN(ROW()-11))&amp;ROW()-11,"")</f>
        <v/>
      </c>
      <c r="D29" s="141"/>
      <c r="E29" s="141"/>
      <c r="F29" s="141"/>
      <c r="G29" s="71"/>
      <c r="H29" s="66"/>
      <c r="I29" s="41" t="str">
        <f>IFERROR(VLOOKUP(H29,マスタ!$D$3:$E$55,2,FALSE),"")</f>
        <v/>
      </c>
      <c r="J29" s="93"/>
      <c r="K29" s="77"/>
      <c r="L29" s="66"/>
      <c r="M29" s="137"/>
      <c r="N29" s="101" t="str">
        <f>IF($G29=マスタ!$J$11, $BG$9,
        IF($M29="", "",
             IF($M29&lt;=$BH$9, $BE$9, $BF$9)))</f>
        <v/>
      </c>
      <c r="O29" s="101" t="str">
        <f>IF($G29=マスタ!$J$11, $BG$9,
        IF($M29="", "",
             IF($M29&lt;=$BH$9, $BE$9, $BF$9)))</f>
        <v/>
      </c>
      <c r="P29" s="138"/>
      <c r="Q29" s="138"/>
      <c r="R29" s="139"/>
      <c r="S29" s="41" t="str">
        <f t="shared" si="2"/>
        <v/>
      </c>
      <c r="T29" s="129" t="str">
        <f t="shared" si="3"/>
        <v/>
      </c>
      <c r="U29" s="138"/>
      <c r="V29" s="139"/>
      <c r="W29" s="66"/>
      <c r="X29" s="68"/>
      <c r="Y29" s="68"/>
      <c r="Z29" s="71"/>
      <c r="AA29" s="165"/>
      <c r="AB29" s="71"/>
      <c r="AC29" s="165"/>
      <c r="AD29" s="92"/>
      <c r="AE29" s="92"/>
      <c r="AF29" s="92"/>
      <c r="AG29" s="92"/>
      <c r="AH29" s="121"/>
      <c r="AI29" s="121"/>
      <c r="AJ29" s="121"/>
      <c r="AK29" s="121"/>
      <c r="AL29" s="92"/>
      <c r="AM29" s="130" t="str">
        <f t="shared" si="4"/>
        <v/>
      </c>
      <c r="AN29" s="121"/>
      <c r="AO29" s="101" t="str">
        <f>IF(OR(SUMPRODUCT(--(AG29:AN29&lt;&gt;""))&lt;7,AND($AG29=マスタ!$N$3,$AH29="")),"",
             IF($AH29&lt;10, $BG$9,
                  IF(AND(SUM($AI29,$AJ29,$AM29,$AN29)&gt;=($AH29*0.2),
                                $AJ29+$AM29+$AN29&gt;=1),
                       $BE$9,$BF$9)))</f>
        <v/>
      </c>
      <c r="AP29" s="101" t="str">
        <f>IF(OR(SUMPRODUCT(--(AG29:AN29&lt;&gt;""))&lt;7,AND($AG29=マスタ!$N$3,$AH29="")),"",
      IF($AO29=$BF$9,$BF$9,
        IF($AG29=マスタ!$N$5, $BG$9,
              IF($AH29&lt;5, IF($AN29&gt;=1, $BE$9, $BF$9),
                   IF(OR($AN29&gt;=1,
                               AND(SUM($AI29+$AJ29+$AM29+$AN29)&gt;=($AH29*0.5),
                                         ($AJ29+$AM29+$AN29)&gt;=($AH29*0.2))),
                        $BE$9,$BF$9)))))</f>
        <v/>
      </c>
      <c r="AQ29" s="66"/>
      <c r="AR29" s="143"/>
      <c r="AT29" s="98" t="str" cm="1">
        <f t="array" aca="1" ref="AT29" ca="1">IF(AND($G29:$H29&lt;&gt;"", $J29:$L29&lt;&gt;"",
                 IF($G29=マスタ!$J$11, TRUE, $M29&lt;&gt;""),
                 $R29&lt;&gt;"", $W29:$X29&lt;&gt;"",
                 IF($X29=マスタ!$F$4, TRUE, $Y29&lt;&gt;""),
                 $AD29:$AL29&lt;&gt;"", $AN29&lt;&gt;"", $AQ29&lt;&gt;""),
        "（正常）入力済み", IF($C29= "", "（複数入力）未入力", "（エラー）一部未入力"))</f>
        <v>（複数入力）未入力</v>
      </c>
      <c r="AU29" s="98" t="str">
        <f ca="1">IF($C29="", "",
              IF($G29=マスタ!$J$11, IF($M29="", "（正常）規定値", "（エラー）値入力不可"),
                   IF($M29="", "未入力","（正常）規定値")))</f>
        <v/>
      </c>
      <c r="AV29" s="98" t="str">
        <f ca="1">IF($C29="", "", IF(M29="",IF($G29=マスタ!$J$11, "（正常）入力不要", "未入力"),
        IF(LEN(
                      MID(M29,FIND(".",M29&amp;".")+1,LEN(M29))
                     )&gt;2, "（エラー）小数第3位以下切り上げ要", "（正常）規定内の桁数")))</f>
        <v/>
      </c>
      <c r="AW29" s="98" t="str">
        <f t="shared" ca="1" si="16"/>
        <v/>
      </c>
      <c r="AX29" s="98" t="str">
        <f t="shared" ca="1" si="17"/>
        <v/>
      </c>
      <c r="AY29" s="98" t="str">
        <f t="shared" ca="1" si="18"/>
        <v/>
      </c>
      <c r="AZ29" s="98" t="str">
        <f t="shared" ca="1" si="19"/>
        <v/>
      </c>
      <c r="BA29" s="98" t="str">
        <f t="shared" ca="1" si="20"/>
        <v/>
      </c>
      <c r="BB29" s="98" t="str">
        <f>IF($X29="", "",
        IF($X29=マスタ!$F$3,
             IF($Y29="", "未入力", "（正常）規定値"),
                  IF($X29=マスタ!$F$4,
                       IF($Y29&lt;&gt;入力不可用2, "（エラー）値入力不可", "（正常）規定値"))))</f>
        <v/>
      </c>
      <c r="BD29" s="75" t="str">
        <f t="shared" si="10"/>
        <v/>
      </c>
      <c r="BE29" s="75"/>
      <c r="BF29" s="75"/>
      <c r="BG29" s="75"/>
      <c r="BH29" s="75"/>
      <c r="BI29" s="75"/>
      <c r="BJ29" s="75"/>
      <c r="BK29" s="75"/>
      <c r="BL29" s="75"/>
      <c r="BM29" s="75"/>
      <c r="BN29" s="75"/>
      <c r="BO29" s="75"/>
    </row>
    <row r="30" spans="3:67" ht="30" customHeight="1">
      <c r="C30" s="69" t="str" cm="1">
        <f t="array" aca="1" ref="C30" ca="1">IF(SUMPRODUCT(--($D30:$AR30 &lt;&gt; "")),RIGHT(YEAR(TODAY()),2)&amp;"02"&amp;REPT("0",4-LEN(ROW()-11))&amp;ROW()-11,"")</f>
        <v/>
      </c>
      <c r="D30" s="141"/>
      <c r="E30" s="141"/>
      <c r="F30" s="141"/>
      <c r="G30" s="71"/>
      <c r="H30" s="66"/>
      <c r="I30" s="41" t="str">
        <f>IFERROR(VLOOKUP(H30,マスタ!$D$3:$E$55,2,FALSE),"")</f>
        <v/>
      </c>
      <c r="J30" s="93"/>
      <c r="K30" s="77"/>
      <c r="L30" s="66"/>
      <c r="M30" s="137"/>
      <c r="N30" s="101" t="str">
        <f>IF($G30=マスタ!$J$11, $BG$9,
        IF($M30="", "",
             IF($M30&lt;=$BH$9, $BE$9, $BF$9)))</f>
        <v/>
      </c>
      <c r="O30" s="101" t="str">
        <f>IF($G30=マスタ!$J$11, $BG$9,
        IF($M30="", "",
             IF($M30&lt;=$BH$9, $BE$9, $BF$9)))</f>
        <v/>
      </c>
      <c r="P30" s="138"/>
      <c r="Q30" s="138"/>
      <c r="R30" s="139"/>
      <c r="S30" s="41" t="str">
        <f t="shared" si="2"/>
        <v/>
      </c>
      <c r="T30" s="129" t="str">
        <f t="shared" si="3"/>
        <v/>
      </c>
      <c r="U30" s="138"/>
      <c r="V30" s="139"/>
      <c r="W30" s="66"/>
      <c r="X30" s="68"/>
      <c r="Y30" s="68"/>
      <c r="Z30" s="71"/>
      <c r="AA30" s="165"/>
      <c r="AB30" s="71"/>
      <c r="AC30" s="165"/>
      <c r="AD30" s="92"/>
      <c r="AE30" s="92"/>
      <c r="AF30" s="92"/>
      <c r="AG30" s="92"/>
      <c r="AH30" s="121"/>
      <c r="AI30" s="121"/>
      <c r="AJ30" s="121"/>
      <c r="AK30" s="121"/>
      <c r="AL30" s="92"/>
      <c r="AM30" s="130" t="str">
        <f t="shared" si="4"/>
        <v/>
      </c>
      <c r="AN30" s="121"/>
      <c r="AO30" s="101" t="str">
        <f>IF(OR(SUMPRODUCT(--(AG30:AN30&lt;&gt;""))&lt;7,AND($AG30=マスタ!$N$3,$AH30="")),"",
             IF($AH30&lt;10, $BG$9,
                  IF(AND(SUM($AI30,$AJ30,$AM30,$AN30)&gt;=($AH30*0.2),
                                $AJ30+$AM30+$AN30&gt;=1),
                       $BE$9,$BF$9)))</f>
        <v/>
      </c>
      <c r="AP30" s="101" t="str">
        <f>IF(OR(SUMPRODUCT(--(AG30:AN30&lt;&gt;""))&lt;7,AND($AG30=マスタ!$N$3,$AH30="")),"",
      IF($AO30=$BF$9,$BF$9,
        IF($AG30=マスタ!$N$5, $BG$9,
              IF($AH30&lt;5, IF($AN30&gt;=1, $BE$9, $BF$9),
                   IF(OR($AN30&gt;=1,
                               AND(SUM($AI30+$AJ30+$AM30+$AN30)&gt;=($AH30*0.5),
                                         ($AJ30+$AM30+$AN30)&gt;=($AH30*0.2))),
                        $BE$9,$BF$9)))))</f>
        <v/>
      </c>
      <c r="AQ30" s="66"/>
      <c r="AR30" s="143"/>
      <c r="AT30" s="98" t="str" cm="1">
        <f t="array" aca="1" ref="AT30" ca="1">IF(AND($G30:$H30&lt;&gt;"", $J30:$L30&lt;&gt;"",
                 IF($G30=マスタ!$J$11, TRUE, $M30&lt;&gt;""),
                 $R30&lt;&gt;"", $W30:$X30&lt;&gt;"",
                 IF($X30=マスタ!$F$4, TRUE, $Y30&lt;&gt;""),
                 $AD30:$AL30&lt;&gt;"", $AN30&lt;&gt;"", $AQ30&lt;&gt;""),
        "（正常）入力済み", IF($C30= "", "（複数入力）未入力", "（エラー）一部未入力"))</f>
        <v>（複数入力）未入力</v>
      </c>
      <c r="AU30" s="98" t="str">
        <f ca="1">IF($C30="", "",
              IF($G30=マスタ!$J$11, IF($M30="", "（正常）規定値", "（エラー）値入力不可"),
                   IF($M30="", "未入力","（正常）規定値")))</f>
        <v/>
      </c>
      <c r="AV30" s="98" t="str">
        <f ca="1">IF($C30="", "", IF(M30="",IF($G30=マスタ!$J$11, "（正常）入力不要", "未入力"),
        IF(LEN(
                      MID(M30,FIND(".",M30&amp;".")+1,LEN(M30))
                     )&gt;2, "（エラー）小数第3位以下切り上げ要", "（正常）規定内の桁数")))</f>
        <v/>
      </c>
      <c r="AW30" s="98" t="str">
        <f t="shared" ca="1" si="16"/>
        <v/>
      </c>
      <c r="AX30" s="98" t="str">
        <f t="shared" ca="1" si="17"/>
        <v/>
      </c>
      <c r="AY30" s="98" t="str">
        <f t="shared" ca="1" si="18"/>
        <v/>
      </c>
      <c r="AZ30" s="98" t="str">
        <f t="shared" ca="1" si="19"/>
        <v/>
      </c>
      <c r="BA30" s="98" t="str">
        <f t="shared" ca="1" si="20"/>
        <v/>
      </c>
      <c r="BB30" s="98" t="str">
        <f>IF($X30="", "",
        IF($X30=マスタ!$F$3,
             IF($Y30="", "未入力", "（正常）規定値"),
                  IF($X30=マスタ!$F$4,
                       IF($Y30&lt;&gt;入力不可用2, "（エラー）値入力不可", "（正常）規定値"))))</f>
        <v/>
      </c>
      <c r="BD30" s="75" t="str">
        <f t="shared" si="10"/>
        <v/>
      </c>
      <c r="BE30" s="75"/>
      <c r="BF30" s="75"/>
      <c r="BG30" s="75"/>
      <c r="BH30" s="75"/>
      <c r="BI30" s="75"/>
      <c r="BJ30" s="75"/>
      <c r="BK30" s="75"/>
      <c r="BL30" s="75"/>
      <c r="BM30" s="75"/>
      <c r="BN30" s="75"/>
      <c r="BO30" s="75"/>
    </row>
    <row r="31" spans="3:67" ht="30" customHeight="1">
      <c r="C31" s="69" t="str" cm="1">
        <f t="array" aca="1" ref="C31" ca="1">IF(SUMPRODUCT(--($D31:$AR31 &lt;&gt; "")),RIGHT(YEAR(TODAY()),2)&amp;"02"&amp;REPT("0",4-LEN(ROW()-11))&amp;ROW()-11,"")</f>
        <v/>
      </c>
      <c r="D31" s="141"/>
      <c r="E31" s="141"/>
      <c r="F31" s="141"/>
      <c r="G31" s="71"/>
      <c r="H31" s="66"/>
      <c r="I31" s="41" t="str">
        <f>IFERROR(VLOOKUP(H31,マスタ!$D$3:$E$55,2,FALSE),"")</f>
        <v/>
      </c>
      <c r="J31" s="93"/>
      <c r="K31" s="77"/>
      <c r="L31" s="66"/>
      <c r="M31" s="137"/>
      <c r="N31" s="101" t="str">
        <f>IF($G31=マスタ!$J$11, $BG$9,
        IF($M31="", "",
             IF($M31&lt;=$BH$9, $BE$9, $BF$9)))</f>
        <v/>
      </c>
      <c r="O31" s="101" t="str">
        <f>IF($G31=マスタ!$J$11, $BG$9,
        IF($M31="", "",
             IF($M31&lt;=$BH$9, $BE$9, $BF$9)))</f>
        <v/>
      </c>
      <c r="P31" s="138"/>
      <c r="Q31" s="138"/>
      <c r="R31" s="139"/>
      <c r="S31" s="41" t="str">
        <f t="shared" si="2"/>
        <v/>
      </c>
      <c r="T31" s="129" t="str">
        <f t="shared" si="3"/>
        <v/>
      </c>
      <c r="U31" s="138"/>
      <c r="V31" s="139"/>
      <c r="W31" s="66"/>
      <c r="X31" s="68"/>
      <c r="Y31" s="68"/>
      <c r="Z31" s="71"/>
      <c r="AA31" s="165"/>
      <c r="AB31" s="71"/>
      <c r="AC31" s="165"/>
      <c r="AD31" s="92"/>
      <c r="AE31" s="92"/>
      <c r="AF31" s="92"/>
      <c r="AG31" s="92"/>
      <c r="AH31" s="121"/>
      <c r="AI31" s="121"/>
      <c r="AJ31" s="121"/>
      <c r="AK31" s="121"/>
      <c r="AL31" s="92"/>
      <c r="AM31" s="130" t="str">
        <f t="shared" si="4"/>
        <v/>
      </c>
      <c r="AN31" s="121"/>
      <c r="AO31" s="101" t="str">
        <f>IF(OR(SUMPRODUCT(--(AG31:AN31&lt;&gt;""))&lt;7,AND($AG31=マスタ!$N$3,$AH31="")),"",
             IF($AH31&lt;10, $BG$9,
                  IF(AND(SUM($AI31,$AJ31,$AM31,$AN31)&gt;=($AH31*0.2),
                                $AJ31+$AM31+$AN31&gt;=1),
                       $BE$9,$BF$9)))</f>
        <v/>
      </c>
      <c r="AP31" s="101" t="str">
        <f>IF(OR(SUMPRODUCT(--(AG31:AN31&lt;&gt;""))&lt;7,AND($AG31=マスタ!$N$3,$AH31="")),"",
      IF($AO31=$BF$9,$BF$9,
        IF($AG31=マスタ!$N$5, $BG$9,
              IF($AH31&lt;5, IF($AN31&gt;=1, $BE$9, $BF$9),
                   IF(OR($AN31&gt;=1,
                               AND(SUM($AI31+$AJ31+$AM31+$AN31)&gt;=($AH31*0.5),
                                         ($AJ31+$AM31+$AN31)&gt;=($AH31*0.2))),
                        $BE$9,$BF$9)))))</f>
        <v/>
      </c>
      <c r="AQ31" s="66"/>
      <c r="AR31" s="143"/>
      <c r="AT31" s="98" t="str" cm="1">
        <f t="array" aca="1" ref="AT31" ca="1">IF(AND($G31:$H31&lt;&gt;"", $J31:$L31&lt;&gt;"",
                 IF($G31=マスタ!$J$11, TRUE, $M31&lt;&gt;""),
                 $R31&lt;&gt;"", $W31:$X31&lt;&gt;"",
                 IF($X31=マスタ!$F$4, TRUE, $Y31&lt;&gt;""),
                 $AD31:$AL31&lt;&gt;"", $AN31&lt;&gt;"", $AQ31&lt;&gt;""),
        "（正常）入力済み", IF($C31= "", "（複数入力）未入力", "（エラー）一部未入力"))</f>
        <v>（複数入力）未入力</v>
      </c>
      <c r="AU31" s="98" t="str">
        <f ca="1">IF($C31="", "",
              IF($G31=マスタ!$J$11, IF($M31="", "（正常）規定値", "（エラー）値入力不可"),
                   IF($M31="", "未入力","（正常）規定値")))</f>
        <v/>
      </c>
      <c r="AV31" s="98" t="str">
        <f ca="1">IF($C31="", "", IF(M31="",IF($G31=マスタ!$J$11, "（正常）入力不要", "未入力"),
        IF(LEN(
                      MID(M31,FIND(".",M31&amp;".")+1,LEN(M31))
                     )&gt;2, "（エラー）小数第3位以下切り上げ要", "（正常）規定内の桁数")))</f>
        <v/>
      </c>
      <c r="AW31" s="98" t="str">
        <f t="shared" ca="1" si="16"/>
        <v/>
      </c>
      <c r="AX31" s="98" t="str">
        <f t="shared" ca="1" si="17"/>
        <v/>
      </c>
      <c r="AY31" s="98" t="str">
        <f t="shared" ca="1" si="18"/>
        <v/>
      </c>
      <c r="AZ31" s="98" t="str">
        <f t="shared" ca="1" si="19"/>
        <v/>
      </c>
      <c r="BA31" s="98" t="str">
        <f t="shared" ca="1" si="20"/>
        <v/>
      </c>
      <c r="BB31" s="98" t="str">
        <f>IF($X31="", "",
        IF($X31=マスタ!$F$3,
             IF($Y31="", "未入力", "（正常）規定値"),
                  IF($X31=マスタ!$F$4,
                       IF($Y31&lt;&gt;入力不可用2, "（エラー）値入力不可", "（正常）規定値"))))</f>
        <v/>
      </c>
      <c r="BD31" s="75" t="str">
        <f t="shared" si="10"/>
        <v/>
      </c>
      <c r="BE31" s="75"/>
      <c r="BF31" s="75"/>
      <c r="BG31" s="75"/>
      <c r="BH31" s="75"/>
      <c r="BI31" s="75"/>
      <c r="BJ31" s="75"/>
      <c r="BK31" s="75"/>
      <c r="BL31" s="75"/>
      <c r="BM31" s="75"/>
      <c r="BN31" s="75"/>
      <c r="BO31" s="75"/>
    </row>
    <row r="32" spans="3:67" ht="30" customHeight="1">
      <c r="C32" s="69" t="str" cm="1">
        <f t="array" aca="1" ref="C32" ca="1">IF(SUMPRODUCT(--($D32:$AR32 &lt;&gt; "")),RIGHT(YEAR(TODAY()),2)&amp;"02"&amp;REPT("0",4-LEN(ROW()-11))&amp;ROW()-11,"")</f>
        <v/>
      </c>
      <c r="D32" s="141"/>
      <c r="E32" s="141"/>
      <c r="F32" s="141"/>
      <c r="G32" s="71"/>
      <c r="H32" s="66"/>
      <c r="I32" s="41" t="str">
        <f>IFERROR(VLOOKUP(H32,マスタ!$D$3:$E$55,2,FALSE),"")</f>
        <v/>
      </c>
      <c r="J32" s="93"/>
      <c r="K32" s="77"/>
      <c r="L32" s="66"/>
      <c r="M32" s="137"/>
      <c r="N32" s="101" t="str">
        <f>IF($G32=マスタ!$J$11, $BG$9,
        IF($M32="", "",
             IF($M32&lt;=$BH$9, $BE$9, $BF$9)))</f>
        <v/>
      </c>
      <c r="O32" s="101" t="str">
        <f>IF($G32=マスタ!$J$11, $BG$9,
        IF($M32="", "",
             IF($M32&lt;=$BH$9, $BE$9, $BF$9)))</f>
        <v/>
      </c>
      <c r="P32" s="138"/>
      <c r="Q32" s="138"/>
      <c r="R32" s="139"/>
      <c r="S32" s="41" t="str">
        <f t="shared" si="2"/>
        <v/>
      </c>
      <c r="T32" s="129" t="str">
        <f t="shared" si="3"/>
        <v/>
      </c>
      <c r="U32" s="138"/>
      <c r="V32" s="139"/>
      <c r="W32" s="66"/>
      <c r="X32" s="68"/>
      <c r="Y32" s="68"/>
      <c r="Z32" s="71"/>
      <c r="AA32" s="165"/>
      <c r="AB32" s="71"/>
      <c r="AC32" s="165"/>
      <c r="AD32" s="92"/>
      <c r="AE32" s="92"/>
      <c r="AF32" s="92"/>
      <c r="AG32" s="92"/>
      <c r="AH32" s="121"/>
      <c r="AI32" s="121"/>
      <c r="AJ32" s="121"/>
      <c r="AK32" s="121"/>
      <c r="AL32" s="92"/>
      <c r="AM32" s="130" t="str">
        <f t="shared" si="4"/>
        <v/>
      </c>
      <c r="AN32" s="121"/>
      <c r="AO32" s="101" t="str">
        <f>IF(OR(SUMPRODUCT(--(AG32:AN32&lt;&gt;""))&lt;7,AND($AG32=マスタ!$N$3,$AH32="")),"",
             IF($AH32&lt;10, $BG$9,
                  IF(AND(SUM($AI32,$AJ32,$AM32,$AN32)&gt;=($AH32*0.2),
                                $AJ32+$AM32+$AN32&gt;=1),
                       $BE$9,$BF$9)))</f>
        <v/>
      </c>
      <c r="AP32" s="101" t="str">
        <f>IF(OR(SUMPRODUCT(--(AG32:AN32&lt;&gt;""))&lt;7,AND($AG32=マスタ!$N$3,$AH32="")),"",
      IF($AO32=$BF$9,$BF$9,
        IF($AG32=マスタ!$N$5, $BG$9,
              IF($AH32&lt;5, IF($AN32&gt;=1, $BE$9, $BF$9),
                   IF(OR($AN32&gt;=1,
                               AND(SUM($AI32+$AJ32+$AM32+$AN32)&gt;=($AH32*0.5),
                                         ($AJ32+$AM32+$AN32)&gt;=($AH32*0.2))),
                        $BE$9,$BF$9)))))</f>
        <v/>
      </c>
      <c r="AQ32" s="66"/>
      <c r="AR32" s="143"/>
      <c r="AT32" s="98" t="str" cm="1">
        <f t="array" aca="1" ref="AT32" ca="1">IF(AND($G32:$H32&lt;&gt;"", $J32:$L32&lt;&gt;"",
                 IF($G32=マスタ!$J$11, TRUE, $M32&lt;&gt;""),
                 $R32&lt;&gt;"", $W32:$X32&lt;&gt;"",
                 IF($X32=マスタ!$F$4, TRUE, $Y32&lt;&gt;""),
                 $AD32:$AL32&lt;&gt;"", $AN32&lt;&gt;"", $AQ32&lt;&gt;""),
        "（正常）入力済み", IF($C32= "", "（複数入力）未入力", "（エラー）一部未入力"))</f>
        <v>（複数入力）未入力</v>
      </c>
      <c r="AU32" s="98" t="str">
        <f ca="1">IF($C32="", "",
              IF($G32=マスタ!$J$11, IF($M32="", "（正常）規定値", "（エラー）値入力不可"),
                   IF($M32="", "未入力","（正常）規定値")))</f>
        <v/>
      </c>
      <c r="AV32" s="98" t="str">
        <f ca="1">IF($C32="", "", IF(M32="",IF($G32=マスタ!$J$11, "（正常）入力不要", "未入力"),
        IF(LEN(
                      MID(M32,FIND(".",M32&amp;".")+1,LEN(M32))
                     )&gt;2, "（エラー）小数第3位以下切り上げ要", "（正常）規定内の桁数")))</f>
        <v/>
      </c>
      <c r="AW32" s="98" t="str">
        <f t="shared" ca="1" si="16"/>
        <v/>
      </c>
      <c r="AX32" s="98" t="str">
        <f t="shared" ca="1" si="17"/>
        <v/>
      </c>
      <c r="AY32" s="98" t="str">
        <f t="shared" ca="1" si="18"/>
        <v/>
      </c>
      <c r="AZ32" s="98" t="str">
        <f t="shared" ca="1" si="19"/>
        <v/>
      </c>
      <c r="BA32" s="98" t="str">
        <f t="shared" ca="1" si="20"/>
        <v/>
      </c>
      <c r="BB32" s="98" t="str">
        <f>IF($X32="", "",
        IF($X32=マスタ!$F$3,
             IF($Y32="", "未入力", "（正常）規定値"),
                  IF($X32=マスタ!$F$4,
                       IF($Y32&lt;&gt;入力不可用2, "（エラー）値入力不可", "（正常）規定値"))))</f>
        <v/>
      </c>
      <c r="BD32" s="75" t="str">
        <f t="shared" si="10"/>
        <v/>
      </c>
      <c r="BE32" s="75"/>
      <c r="BF32" s="75"/>
      <c r="BG32" s="75"/>
      <c r="BH32" s="75"/>
      <c r="BI32" s="75"/>
      <c r="BJ32" s="75"/>
      <c r="BK32" s="75"/>
      <c r="BL32" s="75"/>
      <c r="BM32" s="75"/>
      <c r="BN32" s="75"/>
      <c r="BO32" s="75"/>
    </row>
    <row r="33" spans="3:67" ht="30" customHeight="1">
      <c r="C33" s="69" t="str" cm="1">
        <f t="array" aca="1" ref="C33" ca="1">IF(SUMPRODUCT(--($D33:$AR33 &lt;&gt; "")),RIGHT(YEAR(TODAY()),2)&amp;"02"&amp;REPT("0",4-LEN(ROW()-11))&amp;ROW()-11,"")</f>
        <v/>
      </c>
      <c r="D33" s="141"/>
      <c r="E33" s="141"/>
      <c r="F33" s="141"/>
      <c r="G33" s="71"/>
      <c r="H33" s="66"/>
      <c r="I33" s="41" t="str">
        <f>IFERROR(VLOOKUP(H33,マスタ!$D$3:$E$55,2,FALSE),"")</f>
        <v/>
      </c>
      <c r="J33" s="93"/>
      <c r="K33" s="77"/>
      <c r="L33" s="66"/>
      <c r="M33" s="137"/>
      <c r="N33" s="101" t="str">
        <f>IF($G33=マスタ!$J$11, $BG$9,
        IF($M33="", "",
             IF($M33&lt;=$BH$9, $BE$9, $BF$9)))</f>
        <v/>
      </c>
      <c r="O33" s="101" t="str">
        <f>IF($G33=マスタ!$J$11, $BG$9,
        IF($M33="", "",
             IF($M33&lt;=$BH$9, $BE$9, $BF$9)))</f>
        <v/>
      </c>
      <c r="P33" s="138"/>
      <c r="Q33" s="138"/>
      <c r="R33" s="139"/>
      <c r="S33" s="41" t="str">
        <f t="shared" si="2"/>
        <v/>
      </c>
      <c r="T33" s="129" t="str">
        <f t="shared" si="3"/>
        <v/>
      </c>
      <c r="U33" s="138"/>
      <c r="V33" s="139"/>
      <c r="W33" s="66"/>
      <c r="X33" s="68"/>
      <c r="Y33" s="68"/>
      <c r="Z33" s="71"/>
      <c r="AA33" s="165"/>
      <c r="AB33" s="71"/>
      <c r="AC33" s="165"/>
      <c r="AD33" s="92"/>
      <c r="AE33" s="92"/>
      <c r="AF33" s="92"/>
      <c r="AG33" s="92"/>
      <c r="AH33" s="121"/>
      <c r="AI33" s="121"/>
      <c r="AJ33" s="121"/>
      <c r="AK33" s="121"/>
      <c r="AL33" s="92"/>
      <c r="AM33" s="130" t="str">
        <f t="shared" si="4"/>
        <v/>
      </c>
      <c r="AN33" s="121"/>
      <c r="AO33" s="101" t="str">
        <f>IF(OR(SUMPRODUCT(--(AG33:AN33&lt;&gt;""))&lt;7,AND($AG33=マスタ!$N$3,$AH33="")),"",
             IF($AH33&lt;10, $BG$9,
                  IF(AND(SUM($AI33,$AJ33,$AM33,$AN33)&gt;=($AH33*0.2),
                                $AJ33+$AM33+$AN33&gt;=1),
                       $BE$9,$BF$9)))</f>
        <v/>
      </c>
      <c r="AP33" s="101" t="str">
        <f>IF(OR(SUMPRODUCT(--(AG33:AN33&lt;&gt;""))&lt;7,AND($AG33=マスタ!$N$3,$AH33="")),"",
      IF($AO33=$BF$9,$BF$9,
        IF($AG33=マスタ!$N$5, $BG$9,
              IF($AH33&lt;5, IF($AN33&gt;=1, $BE$9, $BF$9),
                   IF(OR($AN33&gt;=1,
                               AND(SUM($AI33+$AJ33+$AM33+$AN33)&gt;=($AH33*0.5),
                                         ($AJ33+$AM33+$AN33)&gt;=($AH33*0.2))),
                        $BE$9,$BF$9)))))</f>
        <v/>
      </c>
      <c r="AQ33" s="66"/>
      <c r="AR33" s="143"/>
      <c r="AT33" s="98" t="str" cm="1">
        <f t="array" aca="1" ref="AT33" ca="1">IF(AND($G33:$H33&lt;&gt;"", $J33:$L33&lt;&gt;"",
                 IF($G33=マスタ!$J$11, TRUE, $M33&lt;&gt;""),
                 $R33&lt;&gt;"", $W33:$X33&lt;&gt;"",
                 IF($X33=マスタ!$F$4, TRUE, $Y33&lt;&gt;""),
                 $AD33:$AL33&lt;&gt;"", $AN33&lt;&gt;"", $AQ33&lt;&gt;""),
        "（正常）入力済み", IF($C33= "", "（複数入力）未入力", "（エラー）一部未入力"))</f>
        <v>（複数入力）未入力</v>
      </c>
      <c r="AU33" s="98" t="str">
        <f ca="1">IF($C33="", "",
              IF($G33=マスタ!$J$11, IF($M33="", "（正常）規定値", "（エラー）値入力不可"),
                   IF($M33="", "未入力","（正常）規定値")))</f>
        <v/>
      </c>
      <c r="AV33" s="98" t="str">
        <f ca="1">IF($C33="", "", IF(M33="",IF($G33=マスタ!$J$11, "（正常）入力不要", "未入力"),
        IF(LEN(
                      MID(M33,FIND(".",M33&amp;".")+1,LEN(M33))
                     )&gt;2, "（エラー）小数第3位以下切り上げ要", "（正常）規定内の桁数")))</f>
        <v/>
      </c>
      <c r="AW33" s="98" t="str">
        <f t="shared" ca="1" si="16"/>
        <v/>
      </c>
      <c r="AX33" s="98" t="str">
        <f t="shared" ca="1" si="17"/>
        <v/>
      </c>
      <c r="AY33" s="98" t="str">
        <f t="shared" ca="1" si="18"/>
        <v/>
      </c>
      <c r="AZ33" s="98" t="str">
        <f t="shared" ca="1" si="19"/>
        <v/>
      </c>
      <c r="BA33" s="98" t="str">
        <f t="shared" ca="1" si="20"/>
        <v/>
      </c>
      <c r="BB33" s="98" t="str">
        <f>IF($X33="", "",
        IF($X33=マスタ!$F$3,
             IF($Y33="", "未入力", "（正常）規定値"),
                  IF($X33=マスタ!$F$4,
                       IF($Y33&lt;&gt;入力不可用2, "（エラー）値入力不可", "（正常）規定値"))))</f>
        <v/>
      </c>
      <c r="BD33" s="75" t="str">
        <f t="shared" si="10"/>
        <v/>
      </c>
      <c r="BE33" s="75"/>
      <c r="BF33" s="75"/>
      <c r="BG33" s="75"/>
      <c r="BH33" s="75"/>
      <c r="BI33" s="75"/>
      <c r="BJ33" s="75"/>
      <c r="BK33" s="75"/>
      <c r="BL33" s="75"/>
      <c r="BM33" s="75"/>
      <c r="BN33" s="75"/>
      <c r="BO33" s="75"/>
    </row>
    <row r="34" spans="3:67" ht="30" customHeight="1">
      <c r="C34" s="69" t="str" cm="1">
        <f t="array" aca="1" ref="C34" ca="1">IF(SUMPRODUCT(--($D34:$AR34 &lt;&gt; "")),RIGHT(YEAR(TODAY()),2)&amp;"02"&amp;REPT("0",4-LEN(ROW()-11))&amp;ROW()-11,"")</f>
        <v/>
      </c>
      <c r="D34" s="141"/>
      <c r="E34" s="141"/>
      <c r="F34" s="141"/>
      <c r="G34" s="71"/>
      <c r="H34" s="66"/>
      <c r="I34" s="41" t="str">
        <f>IFERROR(VLOOKUP(H34,マスタ!$D$3:$E$55,2,FALSE),"")</f>
        <v/>
      </c>
      <c r="J34" s="93"/>
      <c r="K34" s="77"/>
      <c r="L34" s="66"/>
      <c r="M34" s="137"/>
      <c r="N34" s="101" t="str">
        <f>IF($G34=マスタ!$J$11, $BG$9,
        IF($M34="", "",
             IF($M34&lt;=$BH$9, $BE$9, $BF$9)))</f>
        <v/>
      </c>
      <c r="O34" s="101" t="str">
        <f>IF($G34=マスタ!$J$11, $BG$9,
        IF($M34="", "",
             IF($M34&lt;=$BH$9, $BE$9, $BF$9)))</f>
        <v/>
      </c>
      <c r="P34" s="138"/>
      <c r="Q34" s="138"/>
      <c r="R34" s="139"/>
      <c r="S34" s="41" t="str">
        <f t="shared" si="2"/>
        <v/>
      </c>
      <c r="T34" s="129" t="str">
        <f t="shared" si="3"/>
        <v/>
      </c>
      <c r="U34" s="138"/>
      <c r="V34" s="139"/>
      <c r="W34" s="66"/>
      <c r="X34" s="68"/>
      <c r="Y34" s="68"/>
      <c r="Z34" s="71"/>
      <c r="AA34" s="165"/>
      <c r="AB34" s="71"/>
      <c r="AC34" s="165"/>
      <c r="AD34" s="92"/>
      <c r="AE34" s="92"/>
      <c r="AF34" s="92"/>
      <c r="AG34" s="92"/>
      <c r="AH34" s="121"/>
      <c r="AI34" s="121"/>
      <c r="AJ34" s="121"/>
      <c r="AK34" s="121"/>
      <c r="AL34" s="92"/>
      <c r="AM34" s="130" t="str">
        <f t="shared" si="4"/>
        <v/>
      </c>
      <c r="AN34" s="121"/>
      <c r="AO34" s="101" t="str">
        <f>IF(OR(SUMPRODUCT(--(AG34:AN34&lt;&gt;""))&lt;7,AND($AG34=マスタ!$N$3,$AH34="")),"",
             IF($AH34&lt;10, $BG$9,
                  IF(AND(SUM($AI34,$AJ34,$AM34,$AN34)&gt;=($AH34*0.2),
                                $AJ34+$AM34+$AN34&gt;=1),
                       $BE$9,$BF$9)))</f>
        <v/>
      </c>
      <c r="AP34" s="101" t="str">
        <f>IF(OR(SUMPRODUCT(--(AG34:AN34&lt;&gt;""))&lt;7,AND($AG34=マスタ!$N$3,$AH34="")),"",
      IF($AO34=$BF$9,$BF$9,
        IF($AG34=マスタ!$N$5, $BG$9,
              IF($AH34&lt;5, IF($AN34&gt;=1, $BE$9, $BF$9),
                   IF(OR($AN34&gt;=1,
                               AND(SUM($AI34+$AJ34+$AM34+$AN34)&gt;=($AH34*0.5),
                                         ($AJ34+$AM34+$AN34)&gt;=($AH34*0.2))),
                        $BE$9,$BF$9)))))</f>
        <v/>
      </c>
      <c r="AQ34" s="66"/>
      <c r="AR34" s="143"/>
      <c r="AT34" s="98" t="str" cm="1">
        <f t="array" aca="1" ref="AT34" ca="1">IF(AND($G34:$H34&lt;&gt;"", $J34:$L34&lt;&gt;"",
                 IF($G34=マスタ!$J$11, TRUE, $M34&lt;&gt;""),
                 $R34&lt;&gt;"", $W34:$X34&lt;&gt;"",
                 IF($X34=マスタ!$F$4, TRUE, $Y34&lt;&gt;""),
                 $AD34:$AL34&lt;&gt;"", $AN34&lt;&gt;"", $AQ34&lt;&gt;""),
        "（正常）入力済み", IF($C34= "", "（複数入力）未入力", "（エラー）一部未入力"))</f>
        <v>（複数入力）未入力</v>
      </c>
      <c r="AU34" s="98" t="str">
        <f ca="1">IF($C34="", "",
              IF($G34=マスタ!$J$11, IF($M34="", "（正常）規定値", "（エラー）値入力不可"),
                   IF($M34="", "未入力","（正常）規定値")))</f>
        <v/>
      </c>
      <c r="AV34" s="98" t="str">
        <f ca="1">IF($C34="", "", IF(M34="",IF($G34=マスタ!$J$11, "（正常）入力不要", "未入力"),
        IF(LEN(
                      MID(M34,FIND(".",M34&amp;".")+1,LEN(M34))
                     )&gt;2, "（エラー）小数第3位以下切り上げ要", "（正常）規定内の桁数")))</f>
        <v/>
      </c>
      <c r="AW34" s="98" t="str">
        <f t="shared" ca="1" si="16"/>
        <v/>
      </c>
      <c r="AX34" s="98" t="str">
        <f t="shared" ca="1" si="17"/>
        <v/>
      </c>
      <c r="AY34" s="98" t="str">
        <f t="shared" ca="1" si="18"/>
        <v/>
      </c>
      <c r="AZ34" s="98" t="str">
        <f t="shared" ca="1" si="19"/>
        <v/>
      </c>
      <c r="BA34" s="98" t="str">
        <f t="shared" ca="1" si="20"/>
        <v/>
      </c>
      <c r="BB34" s="98" t="str">
        <f>IF($X34="", "",
        IF($X34=マスタ!$F$3,
             IF($Y34="", "未入力", "（正常）規定値"),
                  IF($X34=マスタ!$F$4,
                       IF($Y34&lt;&gt;入力不可用2, "（エラー）値入力不可", "（正常）規定値"))))</f>
        <v/>
      </c>
      <c r="BD34" s="75" t="str">
        <f t="shared" si="10"/>
        <v/>
      </c>
      <c r="BE34" s="75"/>
      <c r="BF34" s="75"/>
      <c r="BG34" s="75"/>
      <c r="BH34" s="75"/>
      <c r="BI34" s="75"/>
      <c r="BJ34" s="75"/>
      <c r="BK34" s="75"/>
      <c r="BL34" s="75"/>
      <c r="BM34" s="75"/>
      <c r="BN34" s="75"/>
      <c r="BO34" s="75"/>
    </row>
    <row r="35" spans="3:67" ht="30" customHeight="1">
      <c r="C35" s="69" t="str" cm="1">
        <f t="array" aca="1" ref="C35" ca="1">IF(SUMPRODUCT(--($D35:$AR35 &lt;&gt; "")),RIGHT(YEAR(TODAY()),2)&amp;"02"&amp;REPT("0",4-LEN(ROW()-11))&amp;ROW()-11,"")</f>
        <v/>
      </c>
      <c r="D35" s="141"/>
      <c r="E35" s="141"/>
      <c r="F35" s="141"/>
      <c r="G35" s="71"/>
      <c r="H35" s="66"/>
      <c r="I35" s="41" t="str">
        <f>IFERROR(VLOOKUP(H35,マスタ!$D$3:$E$55,2,FALSE),"")</f>
        <v/>
      </c>
      <c r="J35" s="93"/>
      <c r="K35" s="77"/>
      <c r="L35" s="66"/>
      <c r="M35" s="137"/>
      <c r="N35" s="101" t="str">
        <f>IF($G35=マスタ!$J$11, $BG$9,
        IF($M35="", "",
             IF($M35&lt;=$BH$9, $BE$9, $BF$9)))</f>
        <v/>
      </c>
      <c r="O35" s="101" t="str">
        <f>IF($G35=マスタ!$J$11, $BG$9,
        IF($M35="", "",
             IF($M35&lt;=$BH$9, $BE$9, $BF$9)))</f>
        <v/>
      </c>
      <c r="P35" s="138"/>
      <c r="Q35" s="138"/>
      <c r="R35" s="139"/>
      <c r="S35" s="41" t="str">
        <f t="shared" si="2"/>
        <v/>
      </c>
      <c r="T35" s="129" t="str">
        <f t="shared" si="3"/>
        <v/>
      </c>
      <c r="U35" s="138"/>
      <c r="V35" s="139"/>
      <c r="W35" s="66"/>
      <c r="X35" s="68"/>
      <c r="Y35" s="68"/>
      <c r="Z35" s="71"/>
      <c r="AA35" s="165"/>
      <c r="AB35" s="71"/>
      <c r="AC35" s="165"/>
      <c r="AD35" s="92"/>
      <c r="AE35" s="92"/>
      <c r="AF35" s="92"/>
      <c r="AG35" s="92"/>
      <c r="AH35" s="121"/>
      <c r="AI35" s="121"/>
      <c r="AJ35" s="121"/>
      <c r="AK35" s="121"/>
      <c r="AL35" s="92"/>
      <c r="AM35" s="130" t="str">
        <f t="shared" si="4"/>
        <v/>
      </c>
      <c r="AN35" s="121"/>
      <c r="AO35" s="101" t="str">
        <f>IF(OR(SUMPRODUCT(--(AG35:AN35&lt;&gt;""))&lt;7,AND($AG35=マスタ!$N$3,$AH35="")),"",
             IF($AH35&lt;10, $BG$9,
                  IF(AND(SUM($AI35,$AJ35,$AM35,$AN35)&gt;=($AH35*0.2),
                                $AJ35+$AM35+$AN35&gt;=1),
                       $BE$9,$BF$9)))</f>
        <v/>
      </c>
      <c r="AP35" s="101" t="str">
        <f>IF(OR(SUMPRODUCT(--(AG35:AN35&lt;&gt;""))&lt;7,AND($AG35=マスタ!$N$3,$AH35="")),"",
      IF($AO35=$BF$9,$BF$9,
        IF($AG35=マスタ!$N$5, $BG$9,
              IF($AH35&lt;5, IF($AN35&gt;=1, $BE$9, $BF$9),
                   IF(OR($AN35&gt;=1,
                               AND(SUM($AI35+$AJ35+$AM35+$AN35)&gt;=($AH35*0.5),
                                         ($AJ35+$AM35+$AN35)&gt;=($AH35*0.2))),
                        $BE$9,$BF$9)))))</f>
        <v/>
      </c>
      <c r="AQ35" s="66"/>
      <c r="AR35" s="143"/>
      <c r="AT35" s="98" t="str" cm="1">
        <f t="array" aca="1" ref="AT35" ca="1">IF(AND($G35:$H35&lt;&gt;"", $J35:$L35&lt;&gt;"",
                 IF($G35=マスタ!$J$11, TRUE, $M35&lt;&gt;""),
                 $R35&lt;&gt;"", $W35:$X35&lt;&gt;"",
                 IF($X35=マスタ!$F$4, TRUE, $Y35&lt;&gt;""),
                 $AD35:$AL35&lt;&gt;"", $AN35&lt;&gt;"", $AQ35&lt;&gt;""),
        "（正常）入力済み", IF($C35= "", "（複数入力）未入力", "（エラー）一部未入力"))</f>
        <v>（複数入力）未入力</v>
      </c>
      <c r="AU35" s="98" t="str">
        <f ca="1">IF($C35="", "",
              IF($G35=マスタ!$J$11, IF($M35="", "（正常）規定値", "（エラー）値入力不可"),
                   IF($M35="", "未入力","（正常）規定値")))</f>
        <v/>
      </c>
      <c r="AV35" s="98" t="str">
        <f ca="1">IF($C35="", "", IF(M35="",IF($G35=マスタ!$J$11, "（正常）入力不要", "未入力"),
        IF(LEN(
                      MID(M35,FIND(".",M35&amp;".")+1,LEN(M35))
                     )&gt;2, "（エラー）小数第3位以下切り上げ要", "（正常）規定内の桁数")))</f>
        <v/>
      </c>
      <c r="AW35" s="98" t="str">
        <f t="shared" ca="1" si="16"/>
        <v/>
      </c>
      <c r="AX35" s="98" t="str">
        <f t="shared" ca="1" si="17"/>
        <v/>
      </c>
      <c r="AY35" s="98" t="str">
        <f t="shared" ca="1" si="18"/>
        <v/>
      </c>
      <c r="AZ35" s="98" t="str">
        <f t="shared" ca="1" si="19"/>
        <v/>
      </c>
      <c r="BA35" s="98" t="str">
        <f t="shared" ca="1" si="20"/>
        <v/>
      </c>
      <c r="BB35" s="98" t="str">
        <f>IF($X35="", "",
        IF($X35=マスタ!$F$3,
             IF($Y35="", "未入力", "（正常）規定値"),
                  IF($X35=マスタ!$F$4,
                       IF($Y35&lt;&gt;入力不可用2, "（エラー）値入力不可", "（正常）規定値"))))</f>
        <v/>
      </c>
      <c r="BD35" s="75" t="str">
        <f t="shared" si="10"/>
        <v/>
      </c>
      <c r="BE35" s="75"/>
      <c r="BF35" s="75"/>
      <c r="BG35" s="75"/>
      <c r="BH35" s="75"/>
      <c r="BI35" s="75"/>
      <c r="BJ35" s="75"/>
      <c r="BK35" s="75"/>
      <c r="BL35" s="75"/>
      <c r="BM35" s="75"/>
      <c r="BN35" s="75"/>
      <c r="BO35" s="75"/>
    </row>
    <row r="36" spans="3:67" ht="30" customHeight="1">
      <c r="C36" s="69" t="str" cm="1">
        <f t="array" aca="1" ref="C36" ca="1">IF(SUMPRODUCT(--($D36:$AR36 &lt;&gt; "")),RIGHT(YEAR(TODAY()),2)&amp;"02"&amp;REPT("0",4-LEN(ROW()-11))&amp;ROW()-11,"")</f>
        <v/>
      </c>
      <c r="D36" s="141"/>
      <c r="E36" s="141"/>
      <c r="F36" s="141"/>
      <c r="G36" s="71"/>
      <c r="H36" s="66"/>
      <c r="I36" s="41" t="str">
        <f>IFERROR(VLOOKUP(H36,マスタ!$D$3:$E$55,2,FALSE),"")</f>
        <v/>
      </c>
      <c r="J36" s="93"/>
      <c r="K36" s="77"/>
      <c r="L36" s="66"/>
      <c r="M36" s="137"/>
      <c r="N36" s="101" t="str">
        <f>IF($G36=マスタ!$J$11, $BG$9,
        IF($M36="", "",
             IF($M36&lt;=$BH$9, $BE$9, $BF$9)))</f>
        <v/>
      </c>
      <c r="O36" s="101" t="str">
        <f>IF($G36=マスタ!$J$11, $BG$9,
        IF($M36="", "",
             IF($M36&lt;=$BH$9, $BE$9, $BF$9)))</f>
        <v/>
      </c>
      <c r="P36" s="138"/>
      <c r="Q36" s="138"/>
      <c r="R36" s="139"/>
      <c r="S36" s="41" t="str">
        <f t="shared" si="2"/>
        <v/>
      </c>
      <c r="T36" s="129" t="str">
        <f t="shared" si="3"/>
        <v/>
      </c>
      <c r="U36" s="138"/>
      <c r="V36" s="139"/>
      <c r="W36" s="66"/>
      <c r="X36" s="68"/>
      <c r="Y36" s="68"/>
      <c r="Z36" s="71"/>
      <c r="AA36" s="165"/>
      <c r="AB36" s="71"/>
      <c r="AC36" s="165"/>
      <c r="AD36" s="92"/>
      <c r="AE36" s="92"/>
      <c r="AF36" s="92"/>
      <c r="AG36" s="92"/>
      <c r="AH36" s="121"/>
      <c r="AI36" s="121"/>
      <c r="AJ36" s="121"/>
      <c r="AK36" s="121"/>
      <c r="AL36" s="92"/>
      <c r="AM36" s="130" t="str">
        <f t="shared" si="4"/>
        <v/>
      </c>
      <c r="AN36" s="121"/>
      <c r="AO36" s="101" t="str">
        <f>IF(OR(SUMPRODUCT(--(AG36:AN36&lt;&gt;""))&lt;7,AND($AG36=マスタ!$N$3,$AH36="")),"",
             IF($AH36&lt;10, $BG$9,
                  IF(AND(SUM($AI36,$AJ36,$AM36,$AN36)&gt;=($AH36*0.2),
                                $AJ36+$AM36+$AN36&gt;=1),
                       $BE$9,$BF$9)))</f>
        <v/>
      </c>
      <c r="AP36" s="101" t="str">
        <f>IF(OR(SUMPRODUCT(--(AG36:AN36&lt;&gt;""))&lt;7,AND($AG36=マスタ!$N$3,$AH36="")),"",
      IF($AO36=$BF$9,$BF$9,
        IF($AG36=マスタ!$N$5, $BG$9,
              IF($AH36&lt;5, IF($AN36&gt;=1, $BE$9, $BF$9),
                   IF(OR($AN36&gt;=1,
                               AND(SUM($AI36+$AJ36+$AM36+$AN36)&gt;=($AH36*0.5),
                                         ($AJ36+$AM36+$AN36)&gt;=($AH36*0.2))),
                        $BE$9,$BF$9)))))</f>
        <v/>
      </c>
      <c r="AQ36" s="66"/>
      <c r="AR36" s="143"/>
      <c r="AT36" s="98" t="str" cm="1">
        <f t="array" aca="1" ref="AT36" ca="1">IF(AND($G36:$H36&lt;&gt;"", $J36:$L36&lt;&gt;"",
                 IF($G36=マスタ!$J$11, TRUE, $M36&lt;&gt;""),
                 $R36&lt;&gt;"", $W36:$X36&lt;&gt;"",
                 IF($X36=マスタ!$F$4, TRUE, $Y36&lt;&gt;""),
                 $AD36:$AL36&lt;&gt;"", $AN36&lt;&gt;"", $AQ36&lt;&gt;""),
        "（正常）入力済み", IF($C36= "", "（複数入力）未入力", "（エラー）一部未入力"))</f>
        <v>（複数入力）未入力</v>
      </c>
      <c r="AU36" s="98" t="str">
        <f ca="1">IF($C36="", "",
              IF($G36=マスタ!$J$11, IF($M36="", "（正常）規定値", "（エラー）値入力不可"),
                   IF($M36="", "未入力","（正常）規定値")))</f>
        <v/>
      </c>
      <c r="AV36" s="98" t="str">
        <f ca="1">IF($C36="", "", IF(M36="",IF($G36=マスタ!$J$11, "（正常）入力不要", "未入力"),
        IF(LEN(
                      MID(M36,FIND(".",M36&amp;".")+1,LEN(M36))
                     )&gt;2, "（エラー）小数第3位以下切り上げ要", "（正常）規定内の桁数")))</f>
        <v/>
      </c>
      <c r="AW36" s="98" t="str">
        <f t="shared" ca="1" si="16"/>
        <v/>
      </c>
      <c r="AX36" s="98" t="str">
        <f t="shared" ca="1" si="17"/>
        <v/>
      </c>
      <c r="AY36" s="98" t="str">
        <f t="shared" ca="1" si="18"/>
        <v/>
      </c>
      <c r="AZ36" s="98" t="str">
        <f t="shared" ca="1" si="19"/>
        <v/>
      </c>
      <c r="BA36" s="98" t="str">
        <f t="shared" ca="1" si="20"/>
        <v/>
      </c>
      <c r="BB36" s="98" t="str">
        <f>IF($X36="", "",
        IF($X36=マスタ!$F$3,
             IF($Y36="", "未入力", "（正常）規定値"),
                  IF($X36=マスタ!$F$4,
                       IF($Y36&lt;&gt;入力不可用2, "（エラー）値入力不可", "（正常）規定値"))))</f>
        <v/>
      </c>
      <c r="BD36" s="75" t="str">
        <f t="shared" si="10"/>
        <v/>
      </c>
      <c r="BE36" s="75"/>
      <c r="BF36" s="75"/>
      <c r="BG36" s="75"/>
      <c r="BH36" s="75"/>
      <c r="BI36" s="75"/>
      <c r="BJ36" s="75"/>
      <c r="BK36" s="75"/>
      <c r="BL36" s="75"/>
      <c r="BM36" s="75"/>
      <c r="BN36" s="75"/>
      <c r="BO36" s="75"/>
    </row>
    <row r="37" spans="3:67" ht="30" customHeight="1">
      <c r="C37" s="69" t="str" cm="1">
        <f t="array" aca="1" ref="C37" ca="1">IF(SUMPRODUCT(--($D37:$AR37 &lt;&gt; "")),RIGHT(YEAR(TODAY()),2)&amp;"02"&amp;REPT("0",4-LEN(ROW()-11))&amp;ROW()-11,"")</f>
        <v/>
      </c>
      <c r="D37" s="141"/>
      <c r="E37" s="141"/>
      <c r="F37" s="141"/>
      <c r="G37" s="71"/>
      <c r="H37" s="66"/>
      <c r="I37" s="41" t="str">
        <f>IFERROR(VLOOKUP(H37,マスタ!$D$3:$E$55,2,FALSE),"")</f>
        <v/>
      </c>
      <c r="J37" s="93"/>
      <c r="K37" s="77"/>
      <c r="L37" s="66"/>
      <c r="M37" s="137"/>
      <c r="N37" s="101" t="str">
        <f>IF($G37=マスタ!$J$11, $BG$9,
        IF($M37="", "",
             IF($M37&lt;=$BH$9, $BE$9, $BF$9)))</f>
        <v/>
      </c>
      <c r="O37" s="101" t="str">
        <f>IF($G37=マスタ!$J$11, $BG$9,
        IF($M37="", "",
             IF($M37&lt;=$BH$9, $BE$9, $BF$9)))</f>
        <v/>
      </c>
      <c r="P37" s="138"/>
      <c r="Q37" s="138"/>
      <c r="R37" s="139"/>
      <c r="S37" s="41" t="str">
        <f t="shared" si="2"/>
        <v/>
      </c>
      <c r="T37" s="129" t="str">
        <f t="shared" si="3"/>
        <v/>
      </c>
      <c r="U37" s="138"/>
      <c r="V37" s="139"/>
      <c r="W37" s="66"/>
      <c r="X37" s="68"/>
      <c r="Y37" s="68"/>
      <c r="Z37" s="71"/>
      <c r="AA37" s="165"/>
      <c r="AB37" s="71"/>
      <c r="AC37" s="165"/>
      <c r="AD37" s="92"/>
      <c r="AE37" s="92"/>
      <c r="AF37" s="92"/>
      <c r="AG37" s="92"/>
      <c r="AH37" s="121"/>
      <c r="AI37" s="121"/>
      <c r="AJ37" s="121"/>
      <c r="AK37" s="121"/>
      <c r="AL37" s="92"/>
      <c r="AM37" s="130" t="str">
        <f t="shared" si="4"/>
        <v/>
      </c>
      <c r="AN37" s="121"/>
      <c r="AO37" s="101" t="str">
        <f>IF(OR(SUMPRODUCT(--(AG37:AN37&lt;&gt;""))&lt;7,AND($AG37=マスタ!$N$3,$AH37="")),"",
             IF($AH37&lt;10, $BG$9,
                  IF(AND(SUM($AI37,$AJ37,$AM37,$AN37)&gt;=($AH37*0.2),
                                $AJ37+$AM37+$AN37&gt;=1),
                       $BE$9,$BF$9)))</f>
        <v/>
      </c>
      <c r="AP37" s="101" t="str">
        <f>IF(OR(SUMPRODUCT(--(AG37:AN37&lt;&gt;""))&lt;7,AND($AG37=マスタ!$N$3,$AH37="")),"",
      IF($AO37=$BF$9,$BF$9,
        IF($AG37=マスタ!$N$5, $BG$9,
              IF($AH37&lt;5, IF($AN37&gt;=1, $BE$9, $BF$9),
                   IF(OR($AN37&gt;=1,
                               AND(SUM($AI37+$AJ37+$AM37+$AN37)&gt;=($AH37*0.5),
                                         ($AJ37+$AM37+$AN37)&gt;=($AH37*0.2))),
                        $BE$9,$BF$9)))))</f>
        <v/>
      </c>
      <c r="AQ37" s="66"/>
      <c r="AR37" s="143"/>
      <c r="AT37" s="98" t="str" cm="1">
        <f t="array" aca="1" ref="AT37" ca="1">IF(AND($G37:$H37&lt;&gt;"", $J37:$L37&lt;&gt;"",
                 IF($G37=マスタ!$J$11, TRUE, $M37&lt;&gt;""),
                 $R37&lt;&gt;"", $W37:$X37&lt;&gt;"",
                 IF($X37=マスタ!$F$4, TRUE, $Y37&lt;&gt;""),
                 $AD37:$AL37&lt;&gt;"", $AN37&lt;&gt;"", $AQ37&lt;&gt;""),
        "（正常）入力済み", IF($C37= "", "（複数入力）未入力", "（エラー）一部未入力"))</f>
        <v>（複数入力）未入力</v>
      </c>
      <c r="AU37" s="98" t="str">
        <f ca="1">IF($C37="", "",
              IF($G37=マスタ!$J$11, IF($M37="", "（正常）規定値", "（エラー）値入力不可"),
                   IF($M37="", "未入力","（正常）規定値")))</f>
        <v/>
      </c>
      <c r="AV37" s="98" t="str">
        <f ca="1">IF($C37="", "", IF(M37="",IF($G37=マスタ!$J$11, "（正常）入力不要", "未入力"),
        IF(LEN(
                      MID(M37,FIND(".",M37&amp;".")+1,LEN(M37))
                     )&gt;2, "（エラー）小数第3位以下切り上げ要", "（正常）規定内の桁数")))</f>
        <v/>
      </c>
      <c r="AW37" s="98" t="str">
        <f t="shared" ca="1" si="16"/>
        <v/>
      </c>
      <c r="AX37" s="98" t="str">
        <f t="shared" ca="1" si="17"/>
        <v/>
      </c>
      <c r="AY37" s="98" t="str">
        <f t="shared" ca="1" si="18"/>
        <v/>
      </c>
      <c r="AZ37" s="98" t="str">
        <f t="shared" ca="1" si="19"/>
        <v/>
      </c>
      <c r="BA37" s="98" t="str">
        <f t="shared" ca="1" si="20"/>
        <v/>
      </c>
      <c r="BB37" s="98" t="str">
        <f>IF($X37="", "",
        IF($X37=マスタ!$F$3,
             IF($Y37="", "未入力", "（正常）規定値"),
                  IF($X37=マスタ!$F$4,
                       IF($Y37&lt;&gt;入力不可用2, "（エラー）値入力不可", "（正常）規定値"))))</f>
        <v/>
      </c>
      <c r="BD37" s="75" t="str">
        <f t="shared" si="10"/>
        <v/>
      </c>
      <c r="BE37" s="75"/>
      <c r="BF37" s="75"/>
      <c r="BG37" s="75"/>
      <c r="BH37" s="75"/>
      <c r="BI37" s="75"/>
      <c r="BJ37" s="75"/>
      <c r="BK37" s="75"/>
      <c r="BL37" s="75"/>
      <c r="BM37" s="75"/>
      <c r="BN37" s="75"/>
      <c r="BO37" s="75"/>
    </row>
    <row r="38" spans="3:67" ht="30" customHeight="1">
      <c r="C38" s="69" t="str" cm="1">
        <f t="array" aca="1" ref="C38" ca="1">IF(SUMPRODUCT(--($D38:$AR38 &lt;&gt; "")),RIGHT(YEAR(TODAY()),2)&amp;"02"&amp;REPT("0",4-LEN(ROW()-11))&amp;ROW()-11,"")</f>
        <v/>
      </c>
      <c r="D38" s="141"/>
      <c r="E38" s="141"/>
      <c r="F38" s="141"/>
      <c r="G38" s="71"/>
      <c r="H38" s="66"/>
      <c r="I38" s="41" t="str">
        <f>IFERROR(VLOOKUP(H38,マスタ!$D$3:$E$55,2,FALSE),"")</f>
        <v/>
      </c>
      <c r="J38" s="93"/>
      <c r="K38" s="77"/>
      <c r="L38" s="66"/>
      <c r="M38" s="137"/>
      <c r="N38" s="101" t="str">
        <f>IF($G38=マスタ!$J$11, $BG$9,
        IF($M38="", "",
             IF($M38&lt;=$BH$9, $BE$9, $BF$9)))</f>
        <v/>
      </c>
      <c r="O38" s="101" t="str">
        <f>IF($G38=マスタ!$J$11, $BG$9,
        IF($M38="", "",
             IF($M38&lt;=$BH$9, $BE$9, $BF$9)))</f>
        <v/>
      </c>
      <c r="P38" s="138"/>
      <c r="Q38" s="138"/>
      <c r="R38" s="139"/>
      <c r="S38" s="41" t="str">
        <f t="shared" si="2"/>
        <v/>
      </c>
      <c r="T38" s="129" t="str">
        <f t="shared" si="3"/>
        <v/>
      </c>
      <c r="U38" s="138"/>
      <c r="V38" s="139"/>
      <c r="W38" s="66"/>
      <c r="X38" s="68"/>
      <c r="Y38" s="68"/>
      <c r="Z38" s="71"/>
      <c r="AA38" s="165"/>
      <c r="AB38" s="71"/>
      <c r="AC38" s="165"/>
      <c r="AD38" s="92"/>
      <c r="AE38" s="92"/>
      <c r="AF38" s="92"/>
      <c r="AG38" s="92"/>
      <c r="AH38" s="121"/>
      <c r="AI38" s="121"/>
      <c r="AJ38" s="121"/>
      <c r="AK38" s="121"/>
      <c r="AL38" s="92"/>
      <c r="AM38" s="130" t="str">
        <f t="shared" si="4"/>
        <v/>
      </c>
      <c r="AN38" s="121"/>
      <c r="AO38" s="101" t="str">
        <f>IF(OR(SUMPRODUCT(--(AG38:AN38&lt;&gt;""))&lt;7,AND($AG38=マスタ!$N$3,$AH38="")),"",
             IF($AH38&lt;10, $BG$9,
                  IF(AND(SUM($AI38,$AJ38,$AM38,$AN38)&gt;=($AH38*0.2),
                                $AJ38+$AM38+$AN38&gt;=1),
                       $BE$9,$BF$9)))</f>
        <v/>
      </c>
      <c r="AP38" s="101" t="str">
        <f>IF(OR(SUMPRODUCT(--(AG38:AN38&lt;&gt;""))&lt;7,AND($AG38=マスタ!$N$3,$AH38="")),"",
      IF($AO38=$BF$9,$BF$9,
        IF($AG38=マスタ!$N$5, $BG$9,
              IF($AH38&lt;5, IF($AN38&gt;=1, $BE$9, $BF$9),
                   IF(OR($AN38&gt;=1,
                               AND(SUM($AI38+$AJ38+$AM38+$AN38)&gt;=($AH38*0.5),
                                         ($AJ38+$AM38+$AN38)&gt;=($AH38*0.2))),
                        $BE$9,$BF$9)))))</f>
        <v/>
      </c>
      <c r="AQ38" s="66"/>
      <c r="AR38" s="143"/>
      <c r="AT38" s="98" t="str" cm="1">
        <f t="array" aca="1" ref="AT38" ca="1">IF(AND($G38:$H38&lt;&gt;"", $J38:$L38&lt;&gt;"",
                 IF($G38=マスタ!$J$11, TRUE, $M38&lt;&gt;""),
                 $R38&lt;&gt;"", $W38:$X38&lt;&gt;"",
                 IF($X38=マスタ!$F$4, TRUE, $Y38&lt;&gt;""),
                 $AD38:$AL38&lt;&gt;"", $AN38&lt;&gt;"", $AQ38&lt;&gt;""),
        "（正常）入力済み", IF($C38= "", "（複数入力）未入力", "（エラー）一部未入力"))</f>
        <v>（複数入力）未入力</v>
      </c>
      <c r="AU38" s="98" t="str">
        <f ca="1">IF($C38="", "",
              IF($G38=マスタ!$J$11, IF($M38="", "（正常）規定値", "（エラー）値入力不可"),
                   IF($M38="", "未入力","（正常）規定値")))</f>
        <v/>
      </c>
      <c r="AV38" s="98" t="str">
        <f ca="1">IF($C38="", "", IF(M38="",IF($G38=マスタ!$J$11, "（正常）入力不要", "未入力"),
        IF(LEN(
                      MID(M38,FIND(".",M38&amp;".")+1,LEN(M38))
                     )&gt;2, "（エラー）小数第3位以下切り上げ要", "（正常）規定内の桁数")))</f>
        <v/>
      </c>
      <c r="AW38" s="98" t="str">
        <f t="shared" ca="1" si="16"/>
        <v/>
      </c>
      <c r="AX38" s="98" t="str">
        <f t="shared" ca="1" si="17"/>
        <v/>
      </c>
      <c r="AY38" s="98" t="str">
        <f t="shared" ca="1" si="18"/>
        <v/>
      </c>
      <c r="AZ38" s="98" t="str">
        <f t="shared" ca="1" si="19"/>
        <v/>
      </c>
      <c r="BA38" s="98" t="str">
        <f t="shared" ca="1" si="20"/>
        <v/>
      </c>
      <c r="BB38" s="98" t="str">
        <f>IF($X38="", "",
        IF($X38=マスタ!$F$3,
             IF($Y38="", "未入力", "（正常）規定値"),
                  IF($X38=マスタ!$F$4,
                       IF($Y38&lt;&gt;入力不可用2, "（エラー）値入力不可", "（正常）規定値"))))</f>
        <v/>
      </c>
      <c r="BD38" s="75" t="str">
        <f t="shared" si="10"/>
        <v/>
      </c>
      <c r="BE38" s="75"/>
      <c r="BF38" s="75"/>
      <c r="BG38" s="75"/>
      <c r="BH38" s="75"/>
      <c r="BI38" s="75"/>
      <c r="BJ38" s="75"/>
      <c r="BK38" s="75"/>
      <c r="BL38" s="75"/>
      <c r="BM38" s="75"/>
      <c r="BN38" s="75"/>
      <c r="BO38" s="75"/>
    </row>
    <row r="39" spans="3:67" ht="30" customHeight="1">
      <c r="C39" s="69" t="str" cm="1">
        <f t="array" aca="1" ref="C39" ca="1">IF(SUMPRODUCT(--($D39:$AR39 &lt;&gt; "")),RIGHT(YEAR(TODAY()),2)&amp;"02"&amp;REPT("0",4-LEN(ROW()-11))&amp;ROW()-11,"")</f>
        <v/>
      </c>
      <c r="D39" s="141"/>
      <c r="E39" s="141"/>
      <c r="F39" s="141"/>
      <c r="G39" s="71"/>
      <c r="H39" s="66"/>
      <c r="I39" s="41" t="str">
        <f>IFERROR(VLOOKUP(H39,マスタ!$D$3:$E$55,2,FALSE),"")</f>
        <v/>
      </c>
      <c r="J39" s="93"/>
      <c r="K39" s="77"/>
      <c r="L39" s="66"/>
      <c r="M39" s="137"/>
      <c r="N39" s="101" t="str">
        <f>IF($G39=マスタ!$J$11, $BG$9,
        IF($M39="", "",
             IF($M39&lt;=$BH$9, $BE$9, $BF$9)))</f>
        <v/>
      </c>
      <c r="O39" s="101" t="str">
        <f>IF($G39=マスタ!$J$11, $BG$9,
        IF($M39="", "",
             IF($M39&lt;=$BH$9, $BE$9, $BF$9)))</f>
        <v/>
      </c>
      <c r="P39" s="138"/>
      <c r="Q39" s="138"/>
      <c r="R39" s="139"/>
      <c r="S39" s="41" t="str">
        <f t="shared" si="2"/>
        <v/>
      </c>
      <c r="T39" s="129" t="str">
        <f t="shared" si="3"/>
        <v/>
      </c>
      <c r="U39" s="138"/>
      <c r="V39" s="139"/>
      <c r="W39" s="66"/>
      <c r="X39" s="68"/>
      <c r="Y39" s="68"/>
      <c r="Z39" s="71"/>
      <c r="AA39" s="165"/>
      <c r="AB39" s="71"/>
      <c r="AC39" s="165"/>
      <c r="AD39" s="92"/>
      <c r="AE39" s="92"/>
      <c r="AF39" s="92"/>
      <c r="AG39" s="92"/>
      <c r="AH39" s="121"/>
      <c r="AI39" s="121"/>
      <c r="AJ39" s="121"/>
      <c r="AK39" s="121"/>
      <c r="AL39" s="92"/>
      <c r="AM39" s="130" t="str">
        <f t="shared" si="4"/>
        <v/>
      </c>
      <c r="AN39" s="121"/>
      <c r="AO39" s="101" t="str">
        <f>IF(OR(SUMPRODUCT(--(AG39:AN39&lt;&gt;""))&lt;7,AND($AG39=マスタ!$N$3,$AH39="")),"",
             IF($AH39&lt;10, $BG$9,
                  IF(AND(SUM($AI39,$AJ39,$AM39,$AN39)&gt;=($AH39*0.2),
                                $AJ39+$AM39+$AN39&gt;=1),
                       $BE$9,$BF$9)))</f>
        <v/>
      </c>
      <c r="AP39" s="101" t="str">
        <f>IF(OR(SUMPRODUCT(--(AG39:AN39&lt;&gt;""))&lt;7,AND($AG39=マスタ!$N$3,$AH39="")),"",
      IF($AO39=$BF$9,$BF$9,
        IF($AG39=マスタ!$N$5, $BG$9,
              IF($AH39&lt;5, IF($AN39&gt;=1, $BE$9, $BF$9),
                   IF(OR($AN39&gt;=1,
                               AND(SUM($AI39+$AJ39+$AM39+$AN39)&gt;=($AH39*0.5),
                                         ($AJ39+$AM39+$AN39)&gt;=($AH39*0.2))),
                        $BE$9,$BF$9)))))</f>
        <v/>
      </c>
      <c r="AQ39" s="66"/>
      <c r="AR39" s="143"/>
      <c r="AT39" s="98" t="str" cm="1">
        <f t="array" aca="1" ref="AT39" ca="1">IF(AND($G39:$H39&lt;&gt;"", $J39:$L39&lt;&gt;"",
                 IF($G39=マスタ!$J$11, TRUE, $M39&lt;&gt;""),
                 $R39&lt;&gt;"", $W39:$X39&lt;&gt;"",
                 IF($X39=マスタ!$F$4, TRUE, $Y39&lt;&gt;""),
                 $AD39:$AL39&lt;&gt;"", $AN39&lt;&gt;"", $AQ39&lt;&gt;""),
        "（正常）入力済み", IF($C39= "", "（複数入力）未入力", "（エラー）一部未入力"))</f>
        <v>（複数入力）未入力</v>
      </c>
      <c r="AU39" s="98" t="str">
        <f ca="1">IF($C39="", "",
              IF($G39=マスタ!$J$11, IF($M39="", "（正常）規定値", "（エラー）値入力不可"),
                   IF($M39="", "未入力","（正常）規定値")))</f>
        <v/>
      </c>
      <c r="AV39" s="98" t="str">
        <f ca="1">IF($C39="", "", IF(M39="",IF($G39=マスタ!$J$11, "（正常）入力不要", "未入力"),
        IF(LEN(
                      MID(M39,FIND(".",M39&amp;".")+1,LEN(M39))
                     )&gt;2, "（エラー）小数第3位以下切り上げ要", "（正常）規定内の桁数")))</f>
        <v/>
      </c>
      <c r="AW39" s="98" t="str">
        <f t="shared" ca="1" si="16"/>
        <v/>
      </c>
      <c r="AX39" s="98" t="str">
        <f t="shared" ca="1" si="17"/>
        <v/>
      </c>
      <c r="AY39" s="98" t="str">
        <f t="shared" ca="1" si="18"/>
        <v/>
      </c>
      <c r="AZ39" s="98" t="str">
        <f t="shared" ca="1" si="19"/>
        <v/>
      </c>
      <c r="BA39" s="98" t="str">
        <f t="shared" ca="1" si="20"/>
        <v/>
      </c>
      <c r="BB39" s="98" t="str">
        <f>IF($X39="", "",
        IF($X39=マスタ!$F$3,
             IF($Y39="", "未入力", "（正常）規定値"),
                  IF($X39=マスタ!$F$4,
                       IF($Y39&lt;&gt;入力不可用2, "（エラー）値入力不可", "（正常）規定値"))))</f>
        <v/>
      </c>
      <c r="BD39" s="75" t="str">
        <f t="shared" si="10"/>
        <v/>
      </c>
      <c r="BE39" s="75"/>
      <c r="BF39" s="75"/>
      <c r="BG39" s="75"/>
      <c r="BH39" s="75"/>
      <c r="BI39" s="75"/>
      <c r="BJ39" s="75"/>
      <c r="BK39" s="75"/>
      <c r="BL39" s="75"/>
      <c r="BM39" s="75"/>
      <c r="BN39" s="75"/>
      <c r="BO39" s="75"/>
    </row>
    <row r="40" spans="3:67" ht="30" customHeight="1">
      <c r="C40" s="69" t="str" cm="1">
        <f t="array" aca="1" ref="C40" ca="1">IF(SUMPRODUCT(--($D40:$AR40 &lt;&gt; "")),RIGHT(YEAR(TODAY()),2)&amp;"02"&amp;REPT("0",4-LEN(ROW()-11))&amp;ROW()-11,"")</f>
        <v/>
      </c>
      <c r="D40" s="141"/>
      <c r="E40" s="141"/>
      <c r="F40" s="141"/>
      <c r="G40" s="71"/>
      <c r="H40" s="66"/>
      <c r="I40" s="41" t="str">
        <f>IFERROR(VLOOKUP(H40,マスタ!$D$3:$E$55,2,FALSE),"")</f>
        <v/>
      </c>
      <c r="J40" s="93"/>
      <c r="K40" s="77"/>
      <c r="L40" s="66"/>
      <c r="M40" s="137"/>
      <c r="N40" s="101" t="str">
        <f>IF($G40=マスタ!$J$11, $BG$9,
        IF($M40="", "",
             IF($M40&lt;=$BH$9, $BE$9, $BF$9)))</f>
        <v/>
      </c>
      <c r="O40" s="101" t="str">
        <f>IF($G40=マスタ!$J$11, $BG$9,
        IF($M40="", "",
             IF($M40&lt;=$BH$9, $BE$9, $BF$9)))</f>
        <v/>
      </c>
      <c r="P40" s="138"/>
      <c r="Q40" s="138"/>
      <c r="R40" s="139"/>
      <c r="S40" s="41" t="str">
        <f t="shared" si="2"/>
        <v/>
      </c>
      <c r="T40" s="129" t="str">
        <f t="shared" si="3"/>
        <v/>
      </c>
      <c r="U40" s="138"/>
      <c r="V40" s="139"/>
      <c r="W40" s="66"/>
      <c r="X40" s="68"/>
      <c r="Y40" s="68"/>
      <c r="Z40" s="71"/>
      <c r="AA40" s="165"/>
      <c r="AB40" s="71"/>
      <c r="AC40" s="165"/>
      <c r="AD40" s="92"/>
      <c r="AE40" s="92"/>
      <c r="AF40" s="92"/>
      <c r="AG40" s="92"/>
      <c r="AH40" s="121"/>
      <c r="AI40" s="121"/>
      <c r="AJ40" s="121"/>
      <c r="AK40" s="121"/>
      <c r="AL40" s="92"/>
      <c r="AM40" s="130" t="str">
        <f t="shared" si="4"/>
        <v/>
      </c>
      <c r="AN40" s="121"/>
      <c r="AO40" s="101" t="str">
        <f>IF(OR(SUMPRODUCT(--(AG40:AN40&lt;&gt;""))&lt;7,AND($AG40=マスタ!$N$3,$AH40="")),"",
             IF($AH40&lt;10, $BG$9,
                  IF(AND(SUM($AI40,$AJ40,$AM40,$AN40)&gt;=($AH40*0.2),
                                $AJ40+$AM40+$AN40&gt;=1),
                       $BE$9,$BF$9)))</f>
        <v/>
      </c>
      <c r="AP40" s="101" t="str">
        <f>IF(OR(SUMPRODUCT(--(AG40:AN40&lt;&gt;""))&lt;7,AND($AG40=マスタ!$N$3,$AH40="")),"",
      IF($AO40=$BF$9,$BF$9,
        IF($AG40=マスタ!$N$5, $BG$9,
              IF($AH40&lt;5, IF($AN40&gt;=1, $BE$9, $BF$9),
                   IF(OR($AN40&gt;=1,
                               AND(SUM($AI40+$AJ40+$AM40+$AN40)&gt;=($AH40*0.5),
                                         ($AJ40+$AM40+$AN40)&gt;=($AH40*0.2))),
                        $BE$9,$BF$9)))))</f>
        <v/>
      </c>
      <c r="AQ40" s="66"/>
      <c r="AR40" s="143"/>
      <c r="AT40" s="98" t="str" cm="1">
        <f t="array" aca="1" ref="AT40" ca="1">IF(AND($G40:$H40&lt;&gt;"", $J40:$L40&lt;&gt;"",
                 IF($G40=マスタ!$J$11, TRUE, $M40&lt;&gt;""),
                 $R40&lt;&gt;"", $W40:$X40&lt;&gt;"",
                 IF($X40=マスタ!$F$4, TRUE, $Y40&lt;&gt;""),
                 $AD40:$AL40&lt;&gt;"", $AN40&lt;&gt;"", $AQ40&lt;&gt;""),
        "（正常）入力済み", IF($C40= "", "（複数入力）未入力", "（エラー）一部未入力"))</f>
        <v>（複数入力）未入力</v>
      </c>
      <c r="AU40" s="98" t="str">
        <f ca="1">IF($C40="", "",
              IF($G40=マスタ!$J$11, IF($M40="", "（正常）規定値", "（エラー）値入力不可"),
                   IF($M40="", "未入力","（正常）規定値")))</f>
        <v/>
      </c>
      <c r="AV40" s="98" t="str">
        <f ca="1">IF($C40="", "", IF(M40="",IF($G40=マスタ!$J$11, "（正常）入力不要", "未入力"),
        IF(LEN(
                      MID(M40,FIND(".",M40&amp;".")+1,LEN(M40))
                     )&gt;2, "（エラー）小数第3位以下切り上げ要", "（正常）規定内の桁数")))</f>
        <v/>
      </c>
      <c r="AW40" s="98" t="str">
        <f t="shared" ca="1" si="16"/>
        <v/>
      </c>
      <c r="AX40" s="98" t="str">
        <f t="shared" ca="1" si="17"/>
        <v/>
      </c>
      <c r="AY40" s="98" t="str">
        <f t="shared" ca="1" si="18"/>
        <v/>
      </c>
      <c r="AZ40" s="98" t="str">
        <f t="shared" ca="1" si="19"/>
        <v/>
      </c>
      <c r="BA40" s="98" t="str">
        <f t="shared" ca="1" si="20"/>
        <v/>
      </c>
      <c r="BB40" s="98" t="str">
        <f>IF($X40="", "",
        IF($X40=マスタ!$F$3,
             IF($Y40="", "未入力", "（正常）規定値"),
                  IF($X40=マスタ!$F$4,
                       IF($Y40&lt;&gt;入力不可用2, "（エラー）値入力不可", "（正常）規定値"))))</f>
        <v/>
      </c>
      <c r="BD40" s="75" t="str">
        <f t="shared" si="10"/>
        <v/>
      </c>
      <c r="BE40" s="75"/>
      <c r="BF40" s="75"/>
      <c r="BG40" s="75"/>
      <c r="BH40" s="75"/>
      <c r="BI40" s="75"/>
      <c r="BJ40" s="75"/>
      <c r="BK40" s="75"/>
      <c r="BL40" s="75"/>
      <c r="BM40" s="75"/>
      <c r="BN40" s="75"/>
      <c r="BO40" s="75"/>
    </row>
    <row r="41" spans="3:67" ht="30" customHeight="1">
      <c r="C41" s="69" t="str" cm="1">
        <f t="array" aca="1" ref="C41" ca="1">IF(SUMPRODUCT(--($D41:$AR41 &lt;&gt; "")),RIGHT(YEAR(TODAY()),2)&amp;"02"&amp;REPT("0",4-LEN(ROW()-11))&amp;ROW()-11,"")</f>
        <v/>
      </c>
      <c r="D41" s="141"/>
      <c r="E41" s="141"/>
      <c r="F41" s="141"/>
      <c r="G41" s="71"/>
      <c r="H41" s="66"/>
      <c r="I41" s="41" t="str">
        <f>IFERROR(VLOOKUP(H41,マスタ!$D$3:$E$55,2,FALSE),"")</f>
        <v/>
      </c>
      <c r="J41" s="93"/>
      <c r="K41" s="77"/>
      <c r="L41" s="66"/>
      <c r="M41" s="137"/>
      <c r="N41" s="101" t="str">
        <f>IF($G41=マスタ!$J$11, $BG$9,
        IF($M41="", "",
             IF($M41&lt;=$BH$9, $BE$9, $BF$9)))</f>
        <v/>
      </c>
      <c r="O41" s="101" t="str">
        <f>IF($G41=マスタ!$J$11, $BG$9,
        IF($M41="", "",
             IF($M41&lt;=$BH$9, $BE$9, $BF$9)))</f>
        <v/>
      </c>
      <c r="P41" s="138"/>
      <c r="Q41" s="138"/>
      <c r="R41" s="139"/>
      <c r="S41" s="41" t="str">
        <f t="shared" si="2"/>
        <v/>
      </c>
      <c r="T41" s="129" t="str">
        <f t="shared" si="3"/>
        <v/>
      </c>
      <c r="U41" s="138"/>
      <c r="V41" s="139"/>
      <c r="W41" s="66"/>
      <c r="X41" s="68"/>
      <c r="Y41" s="68"/>
      <c r="Z41" s="71"/>
      <c r="AA41" s="165"/>
      <c r="AB41" s="71"/>
      <c r="AC41" s="165"/>
      <c r="AD41" s="92"/>
      <c r="AE41" s="92"/>
      <c r="AF41" s="92"/>
      <c r="AG41" s="92"/>
      <c r="AH41" s="121"/>
      <c r="AI41" s="121"/>
      <c r="AJ41" s="121"/>
      <c r="AK41" s="121"/>
      <c r="AL41" s="92"/>
      <c r="AM41" s="130" t="str">
        <f t="shared" si="4"/>
        <v/>
      </c>
      <c r="AN41" s="121"/>
      <c r="AO41" s="101" t="str">
        <f>IF(OR(SUMPRODUCT(--(AG41:AN41&lt;&gt;""))&lt;7,AND($AG41=マスタ!$N$3,$AH41="")),"",
             IF($AH41&lt;10, $BG$9,
                  IF(AND(SUM($AI41,$AJ41,$AM41,$AN41)&gt;=($AH41*0.2),
                                $AJ41+$AM41+$AN41&gt;=1),
                       $BE$9,$BF$9)))</f>
        <v/>
      </c>
      <c r="AP41" s="101" t="str">
        <f>IF(OR(SUMPRODUCT(--(AG41:AN41&lt;&gt;""))&lt;7,AND($AG41=マスタ!$N$3,$AH41="")),"",
      IF($AO41=$BF$9,$BF$9,
        IF($AG41=マスタ!$N$5, $BG$9,
              IF($AH41&lt;5, IF($AN41&gt;=1, $BE$9, $BF$9),
                   IF(OR($AN41&gt;=1,
                               AND(SUM($AI41+$AJ41+$AM41+$AN41)&gt;=($AH41*0.5),
                                         ($AJ41+$AM41+$AN41)&gt;=($AH41*0.2))),
                        $BE$9,$BF$9)))))</f>
        <v/>
      </c>
      <c r="AQ41" s="66"/>
      <c r="AR41" s="143"/>
      <c r="AT41" s="98" t="str" cm="1">
        <f t="array" aca="1" ref="AT41" ca="1">IF(AND($G41:$H41&lt;&gt;"", $J41:$L41&lt;&gt;"",
                 IF($G41=マスタ!$J$11, TRUE, $M41&lt;&gt;""),
                 $R41&lt;&gt;"", $W41:$X41&lt;&gt;"",
                 IF($X41=マスタ!$F$4, TRUE, $Y41&lt;&gt;""),
                 $AD41:$AL41&lt;&gt;"", $AN41&lt;&gt;"", $AQ41&lt;&gt;""),
        "（正常）入力済み", IF($C41= "", "（複数入力）未入力", "（エラー）一部未入力"))</f>
        <v>（複数入力）未入力</v>
      </c>
      <c r="AU41" s="98" t="str">
        <f ca="1">IF($C41="", "",
              IF($G41=マスタ!$J$11, IF($M41="", "（正常）規定値", "（エラー）値入力不可"),
                   IF($M41="", "未入力","（正常）規定値")))</f>
        <v/>
      </c>
      <c r="AV41" s="98" t="str">
        <f ca="1">IF($C41="", "", IF(M41="",IF($G41=マスタ!$J$11, "（正常）入力不要", "未入力"),
        IF(LEN(
                      MID(M41,FIND(".",M41&amp;".")+1,LEN(M41))
                     )&gt;2, "（エラー）小数第3位以下切り上げ要", "（正常）規定内の桁数")))</f>
        <v/>
      </c>
      <c r="AW41" s="98" t="str">
        <f t="shared" ca="1" si="16"/>
        <v/>
      </c>
      <c r="AX41" s="98" t="str">
        <f t="shared" ca="1" si="17"/>
        <v/>
      </c>
      <c r="AY41" s="98" t="str">
        <f t="shared" ca="1" si="18"/>
        <v/>
      </c>
      <c r="AZ41" s="98" t="str">
        <f t="shared" ca="1" si="19"/>
        <v/>
      </c>
      <c r="BA41" s="98" t="str">
        <f t="shared" ca="1" si="20"/>
        <v/>
      </c>
      <c r="BB41" s="98" t="str">
        <f>IF($X41="", "",
        IF($X41=マスタ!$F$3,
             IF($Y41="", "未入力", "（正常）規定値"),
                  IF($X41=マスタ!$F$4,
                       IF($Y41&lt;&gt;入力不可用2, "（エラー）値入力不可", "（正常）規定値"))))</f>
        <v/>
      </c>
      <c r="BD41" s="75" t="str">
        <f t="shared" si="10"/>
        <v/>
      </c>
      <c r="BE41" s="75"/>
      <c r="BF41" s="75"/>
      <c r="BG41" s="75"/>
      <c r="BH41" s="75"/>
      <c r="BI41" s="75"/>
      <c r="BJ41" s="75"/>
      <c r="BK41" s="75"/>
      <c r="BL41" s="75"/>
      <c r="BM41" s="75"/>
      <c r="BN41" s="75"/>
      <c r="BO41" s="75"/>
    </row>
    <row r="42" spans="3:67" ht="30" customHeight="1">
      <c r="C42" s="39" t="s">
        <v>114</v>
      </c>
      <c r="D42" s="39"/>
      <c r="E42" s="39"/>
      <c r="F42" s="39"/>
    </row>
    <row r="52" spans="13:13">
      <c r="M52" s="1" t="s">
        <v>115</v>
      </c>
    </row>
    <row r="67" spans="4:6">
      <c r="D67" s="12"/>
      <c r="E67" s="12"/>
      <c r="F67" s="12"/>
    </row>
    <row r="69" spans="4:6">
      <c r="D69" s="12"/>
      <c r="E69" s="12"/>
      <c r="F69" s="12"/>
    </row>
  </sheetData>
  <mergeCells count="37">
    <mergeCell ref="AR8:AR11"/>
    <mergeCell ref="I10:I11"/>
    <mergeCell ref="J10:J11"/>
    <mergeCell ref="K10:K11"/>
    <mergeCell ref="AH10:AH11"/>
    <mergeCell ref="AI10:AN10"/>
    <mergeCell ref="AK11:AL11"/>
    <mergeCell ref="R10:R11"/>
    <mergeCell ref="S10:S11"/>
    <mergeCell ref="T10:T11"/>
    <mergeCell ref="U10:U11"/>
    <mergeCell ref="M10:M11"/>
    <mergeCell ref="AP10:AP11"/>
    <mergeCell ref="AO10:AO11"/>
    <mergeCell ref="X10:AC10"/>
    <mergeCell ref="AQ8:AQ11"/>
    <mergeCell ref="M9:O9"/>
    <mergeCell ref="H10:H11"/>
    <mergeCell ref="P9:V9"/>
    <mergeCell ref="AG8:AP9"/>
    <mergeCell ref="AG10:AG11"/>
    <mergeCell ref="C8:C11"/>
    <mergeCell ref="M8:W8"/>
    <mergeCell ref="X8:AF9"/>
    <mergeCell ref="N10:N11"/>
    <mergeCell ref="O10:O11"/>
    <mergeCell ref="P10:P11"/>
    <mergeCell ref="Q10:Q11"/>
    <mergeCell ref="W10:W11"/>
    <mergeCell ref="AD10:AF10"/>
    <mergeCell ref="L10:L11"/>
    <mergeCell ref="G10:G11"/>
    <mergeCell ref="E8:E11"/>
    <mergeCell ref="D8:D11"/>
    <mergeCell ref="F8:L9"/>
    <mergeCell ref="V10:V11"/>
    <mergeCell ref="F10:F11"/>
  </mergeCells>
  <phoneticPr fontId="1"/>
  <conditionalFormatting sqref="P22:R41">
    <cfRule type="expression" dxfId="14" priority="29">
      <formula>#REF!="OFF"</formula>
    </cfRule>
  </conditionalFormatting>
  <conditionalFormatting sqref="Y12:Y41">
    <cfRule type="expression" dxfId="13" priority="30">
      <formula>$X12="該当無"</formula>
    </cfRule>
  </conditionalFormatting>
  <conditionalFormatting sqref="AG12:AG41">
    <cfRule type="expression" dxfId="8" priority="5">
      <formula>#REF!="OFF"</formula>
    </cfRule>
  </conditionalFormatting>
  <conditionalFormatting sqref="AT12:BB41">
    <cfRule type="containsText" dxfId="6" priority="17" operator="containsText" text="（注意）">
      <formula>NOT(ISERROR(SEARCH("（注意）",AT12)))</formula>
    </cfRule>
    <cfRule type="containsText" dxfId="5" priority="18" operator="containsText" text="（正常）">
      <formula>NOT(ISERROR(SEARCH("（正常）",AT12)))</formula>
    </cfRule>
    <cfRule type="containsText" dxfId="4" priority="19" operator="containsText" text="（エラー）">
      <formula>NOT(ISERROR(SEARCH("（エラー）",AT12)))</formula>
    </cfRule>
  </conditionalFormatting>
  <dataValidations count="14">
    <dataValidation type="list" allowBlank="1" showInputMessage="1" showErrorMessage="1" sqref="H12:H41" xr:uid="{00000000-0002-0000-0600-000000000000}">
      <formula1>区市町村</formula1>
    </dataValidation>
    <dataValidation type="list" allowBlank="1" showInputMessage="1" showErrorMessage="1" sqref="G12:G41" xr:uid="{00000000-0002-0000-0600-000001000000}">
      <formula1>非住宅_用途区分</formula1>
    </dataValidation>
    <dataValidation type="list" allowBlank="1" showInputMessage="1" showErrorMessage="1" sqref="X12:X41" xr:uid="{00000000-0002-0000-0600-000002000000}">
      <formula1>該当有無区分</formula1>
    </dataValidation>
    <dataValidation type="list" allowBlank="1" showInputMessage="1" showErrorMessage="1" sqref="L12:L41" xr:uid="{00000000-0002-0000-0600-000003000000}">
      <formula1>引渡し状況区分</formula1>
    </dataValidation>
    <dataValidation type="date" operator="lessThanOrEqual" allowBlank="1" showInputMessage="1" showErrorMessage="1" error="日付を入力してください" sqref="K12:K41" xr:uid="{00000000-0002-0000-0600-000004000000}">
      <formula1>2958465</formula1>
    </dataValidation>
    <dataValidation type="decimal" allowBlank="1" showInputMessage="1" showErrorMessage="1" error="0以上2000未満の値を入力してください" sqref="J12:J41" xr:uid="{00000000-0002-0000-0600-000005000000}">
      <formula1>0</formula1>
      <formula2>1999.99</formula2>
    </dataValidation>
    <dataValidation type="list" allowBlank="1" showInputMessage="1" showErrorMessage="1" sqref="AQ12:AQ41" xr:uid="{00000000-0002-0000-0600-000006000000}">
      <formula1>説明実施区分</formula1>
    </dataValidation>
    <dataValidation type="decimal" operator="greaterThanOrEqual" allowBlank="1" showInputMessage="1" showErrorMessage="1" sqref="U12:U41 P12:Q41 AL12:AM41 M12:M41 AD12:AF41" xr:uid="{00000000-0002-0000-0600-000007000000}">
      <formula1>0</formula1>
    </dataValidation>
    <dataValidation type="list" allowBlank="1" showInputMessage="1" showErrorMessage="1" sqref="W12:W41" xr:uid="{00000000-0002-0000-0600-000008000000}">
      <formula1>適合区分_省エネ用</formula1>
    </dataValidation>
    <dataValidation type="whole" operator="greaterThanOrEqual" allowBlank="1" showInputMessage="1" showErrorMessage="1" sqref="AN12:AN41 AH12:AK41" xr:uid="{00000000-0002-0000-0600-000009000000}">
      <formula1>0</formula1>
    </dataValidation>
    <dataValidation operator="greaterThanOrEqual" allowBlank="1" showInputMessage="1" showErrorMessage="1" sqref="T12:T41" xr:uid="{00000000-0002-0000-0600-00000A000000}"/>
    <dataValidation type="list" allowBlank="1" showInputMessage="1" showErrorMessage="1" sqref="Y12:Y41" xr:uid="{00000000-0002-0000-0600-00000B000000}">
      <formula1>IF($X12="該当有", 該当事項区分, 入力不可用)</formula1>
    </dataValidation>
    <dataValidation type="list" allowBlank="1" showInputMessage="1" showErrorMessage="1" sqref="Z12:Z41 AB12:AB41" xr:uid="{00000000-0002-0000-0600-00000C000000}">
      <formula1>IF($X12="該当有", 屋根区分, 入力不可用2)</formula1>
    </dataValidation>
    <dataValidation type="list" operator="greaterThanOrEqual" allowBlank="1" showInputMessage="1" showErrorMessage="1" sqref="AG12:AG41" xr:uid="{00000000-0002-0000-0600-00000D000000}">
      <formula1>駐車施設の区画の有無</formula1>
    </dataValidation>
  </dataValidations>
  <hyperlinks>
    <hyperlink ref="AU11" location="'その４建物別情報（非住宅）_入力シート（非公開）'!M11" display="BPI" xr:uid="{00000000-0004-0000-0600-000000000000}"/>
    <hyperlink ref="AV11" location="'その４建物別情報（非住宅）_入力シート（非公開）'!M11" display="BPI" xr:uid="{00000000-0004-0000-0600-000001000000}"/>
    <hyperlink ref="AW11" location="'その４建物別情報（非住宅）_入力シート（非公開）'!P11" display="基準一次エネルギー消費量" xr:uid="{00000000-0004-0000-0600-000002000000}"/>
    <hyperlink ref="AX11" location="'その４建物別情報（非住宅）_入力シート（非公開）'!Q11" display="誘導一次エネルギー消費量" xr:uid="{00000000-0004-0000-0600-000003000000}"/>
    <hyperlink ref="AY11" location="'その４建物別情報（非住宅）_入力シート（非公開）'!R11" display="非住宅用途ＢＥＩ" xr:uid="{00000000-0004-0000-0600-000004000000}"/>
    <hyperlink ref="AZ11" location="'その４建物別情報（非住宅）_入力シート（非公開）'!U11" display="誘導設計一次エネルギー消費量" xr:uid="{00000000-0004-0000-0600-000005000000}"/>
    <hyperlink ref="BA11" location="'その４建物別情報（非住宅）_入力シート（非公開）'!V11" display="非住宅用途ＢＥＩ（誘導基準）" xr:uid="{00000000-0004-0000-0600-000006000000}"/>
    <hyperlink ref="BB11" location="'その４建物別情報（非住宅）_入力シート（非公開）'!Y11" display="該当事項" xr:uid="{00000000-0004-0000-0600-000007000000}"/>
  </hyperlinks>
  <pageMargins left="0.51181102362204722" right="0.70866141732283472" top="0.74803149606299213" bottom="0.74803149606299213" header="0.31496062992125984" footer="0.31496062992125984"/>
  <pageSetup paperSize="8" scale="34" orientation="landscape" horizontalDpi="300" verticalDpi="3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2" id="{B2F00A82-E3F4-497D-A84C-FE6AD90EA605}">
            <xm:f>$G12=マスタ!$J$11</xm:f>
            <x14:dxf>
              <fill>
                <patternFill>
                  <bgColor theme="0" tint="-0.24994659260841701"/>
                </patternFill>
              </fill>
            </x14:dxf>
          </x14:cfRule>
          <xm:sqref>M12:M41</xm:sqref>
        </x14:conditionalFormatting>
        <x14:conditionalFormatting xmlns:xm="http://schemas.microsoft.com/office/excel/2006/main">
          <x14:cfRule type="expression" priority="14" id="{1260F2DA-AFE2-4680-A840-EF611B060EEF}">
            <xm:f>$X12=マスタ!$F$4</xm:f>
            <x14:dxf>
              <fill>
                <patternFill>
                  <bgColor theme="0" tint="-0.24994659260841701"/>
                </patternFill>
              </fill>
            </x14:dxf>
          </x14:cfRule>
          <xm:sqref>Y12:AC41</xm:sqref>
        </x14:conditionalFormatting>
        <x14:conditionalFormatting xmlns:xm="http://schemas.microsoft.com/office/excel/2006/main">
          <x14:cfRule type="expression" priority="15" id="{DDA8D611-D416-433E-BF18-9DC416CDE4F9}">
            <xm:f>'その４建物別情報（住宅）_入力シート（非公開）'!#REF!="OFF"</xm:f>
            <x14:dxf>
              <fill>
                <patternFill>
                  <bgColor theme="0"/>
                </patternFill>
              </fill>
            </x14:dxf>
          </x14:cfRule>
          <xm:sqref>Z12:AA25</xm:sqref>
        </x14:conditionalFormatting>
        <x14:conditionalFormatting xmlns:xm="http://schemas.microsoft.com/office/excel/2006/main">
          <x14:cfRule type="expression" priority="11" id="{9E52EE69-88CB-4D05-90F6-8CBE23023B90}">
            <xm:f>'その４建物別情報（住宅）_入力シート（非公開）'!#REF!="OFF"</xm:f>
            <x14:dxf>
              <fill>
                <patternFill>
                  <bgColor theme="0"/>
                </patternFill>
              </fill>
            </x14:dxf>
          </x14:cfRule>
          <xm:sqref>Z26:AA41</xm:sqref>
        </x14:conditionalFormatting>
        <x14:conditionalFormatting xmlns:xm="http://schemas.microsoft.com/office/excel/2006/main">
          <x14:cfRule type="expression" priority="6" id="{85CE3985-0B6C-4C31-8C27-1C1783016738}">
            <xm:f>'その４建物別情報（住宅）_入力シート（非公開）'!#REF!="OFF"</xm:f>
            <x14:dxf>
              <fill>
                <patternFill>
                  <bgColor theme="0"/>
                </patternFill>
              </fill>
            </x14:dxf>
          </x14:cfRule>
          <xm:sqref>AB12:AC41</xm:sqref>
        </x14:conditionalFormatting>
        <x14:conditionalFormatting xmlns:xm="http://schemas.microsoft.com/office/excel/2006/main">
          <x14:cfRule type="expression" priority="2" id="{F4BD285B-977C-4497-84BD-935EDAA668C4}">
            <xm:f>OR($AG12=マスタ!$N$4,$AG12=マスタ!$N$5)</xm:f>
            <x14:dxf>
              <fill>
                <patternFill>
                  <bgColor theme="2" tint="-9.9948118533890809E-2"/>
                </patternFill>
              </fill>
            </x14:dxf>
          </x14:cfRule>
          <xm:sqref>AH12:AH41</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4" tint="0.59999389629810485"/>
  </sheetPr>
  <dimension ref="B1:U54"/>
  <sheetViews>
    <sheetView zoomScaleNormal="100" workbookViewId="0">
      <pane xSplit="7" ySplit="8" topLeftCell="H9" activePane="bottomRight" state="frozen"/>
      <selection pane="topRight"/>
      <selection pane="bottomLeft"/>
      <selection pane="bottomRight" activeCell="L30" sqref="L30"/>
    </sheetView>
  </sheetViews>
  <sheetFormatPr defaultColWidth="9" defaultRowHeight="13.5"/>
  <cols>
    <col min="1" max="1" width="1.5" style="1" customWidth="1"/>
    <col min="2" max="2" width="2.875" style="1" customWidth="1"/>
    <col min="3" max="6" width="12.625" style="1" customWidth="1"/>
    <col min="7" max="7" width="8.625" style="1" bestFit="1" customWidth="1"/>
    <col min="8" max="8" width="10.5" style="1" bestFit="1" customWidth="1"/>
    <col min="9" max="10" width="16.5" style="1" bestFit="1" customWidth="1"/>
    <col min="11" max="11" width="16.5" style="1" customWidth="1"/>
    <col min="12" max="12" width="20.625" style="1" customWidth="1"/>
    <col min="13" max="13" width="33.875" style="1" bestFit="1" customWidth="1"/>
    <col min="14" max="14" width="2.25" style="1" bestFit="1" customWidth="1"/>
    <col min="15" max="15" width="19.125" style="53" bestFit="1" customWidth="1"/>
    <col min="16" max="16384" width="9" style="1"/>
  </cols>
  <sheetData>
    <row r="1" spans="2:21" ht="15.75" customHeight="1">
      <c r="B1" s="36" t="s">
        <v>120</v>
      </c>
      <c r="H1" s="11"/>
      <c r="J1" s="23"/>
      <c r="M1" s="163"/>
    </row>
    <row r="2" spans="2:21" ht="19.5" customHeight="1">
      <c r="O2" s="125" t="str">
        <f ca="1">IF(O3="","",O3&amp;CHAR(10))</f>
        <v/>
      </c>
      <c r="P2" s="126"/>
      <c r="Q2" s="126"/>
      <c r="R2" s="126"/>
      <c r="S2" s="126"/>
      <c r="T2" s="126"/>
    </row>
    <row r="3" spans="2:21" ht="15.75" customHeight="1">
      <c r="B3" s="1" t="s">
        <v>121</v>
      </c>
      <c r="O3" s="125" t="str">
        <f ca="1">IF(O4&lt;&gt;0,"未入力エラーが"&amp;O4&amp;"件存在します","")</f>
        <v/>
      </c>
      <c r="P3" s="126"/>
      <c r="Q3" s="126"/>
      <c r="R3" s="126"/>
      <c r="S3" s="126"/>
      <c r="T3" s="126"/>
    </row>
    <row r="4" spans="2:21" ht="6" customHeight="1">
      <c r="B4" s="31"/>
      <c r="C4" s="30"/>
      <c r="O4" s="125">
        <f ca="1">COUNTIF(O9:O1008,"*エラー*")</f>
        <v>0</v>
      </c>
      <c r="P4" s="126"/>
      <c r="Q4" s="126"/>
      <c r="R4" s="126"/>
      <c r="S4" s="126"/>
      <c r="T4" s="126"/>
      <c r="U4" s="7"/>
    </row>
    <row r="5" spans="2:21" ht="15" customHeight="1">
      <c r="B5" s="31"/>
      <c r="C5" s="30"/>
      <c r="O5" s="52"/>
      <c r="T5" s="7"/>
      <c r="U5" s="7"/>
    </row>
    <row r="6" spans="2:21" ht="6" customHeight="1">
      <c r="B6" s="31"/>
      <c r="C6" s="30"/>
      <c r="O6" s="51"/>
      <c r="T6" s="7"/>
      <c r="U6" s="7"/>
    </row>
    <row r="7" spans="2:21" ht="14.25" customHeight="1">
      <c r="C7" s="256" t="s">
        <v>98</v>
      </c>
      <c r="D7" s="334" t="s">
        <v>156</v>
      </c>
      <c r="E7" s="334" t="s">
        <v>332</v>
      </c>
      <c r="F7" s="334" t="s">
        <v>122</v>
      </c>
      <c r="G7" s="256" t="s">
        <v>106</v>
      </c>
      <c r="H7" s="337" t="s">
        <v>123</v>
      </c>
      <c r="I7" s="338"/>
      <c r="J7" s="339"/>
      <c r="K7" s="336" t="s">
        <v>370</v>
      </c>
      <c r="L7" s="336" t="s">
        <v>371</v>
      </c>
      <c r="M7" s="336" t="s">
        <v>150</v>
      </c>
      <c r="O7" s="50" t="s">
        <v>387</v>
      </c>
      <c r="P7" s="55"/>
      <c r="Q7" s="55"/>
    </row>
    <row r="8" spans="2:21" ht="30.75" customHeight="1">
      <c r="C8" s="258"/>
      <c r="D8" s="335"/>
      <c r="E8" s="335"/>
      <c r="F8" s="335"/>
      <c r="G8" s="258"/>
      <c r="H8" s="6" t="s">
        <v>354</v>
      </c>
      <c r="I8" s="6" t="s">
        <v>347</v>
      </c>
      <c r="J8" s="6" t="s">
        <v>348</v>
      </c>
      <c r="K8" s="336"/>
      <c r="L8" s="336"/>
      <c r="M8" s="336"/>
      <c r="O8" s="50" t="s">
        <v>388</v>
      </c>
      <c r="P8" s="55"/>
      <c r="Q8" s="55"/>
    </row>
    <row r="9" spans="2:21" ht="15" customHeight="1">
      <c r="C9" s="70" t="str" cm="1">
        <f t="array" aca="1" ref="C9" ca="1">IF(SUMPRODUCT(--($D9:$M9 &lt;&gt; "")),RIGHT(YEAR(TODAY()),2)&amp;"03"&amp;REPT("0",4-LEN(ROW()-8))&amp;ROW()-8,"")</f>
        <v/>
      </c>
      <c r="D9" s="144"/>
      <c r="E9" s="144"/>
      <c r="F9" s="67"/>
      <c r="G9" s="67"/>
      <c r="H9" s="91"/>
      <c r="I9" s="91"/>
      <c r="J9" s="91"/>
      <c r="K9" s="195"/>
      <c r="L9" s="195"/>
      <c r="M9" s="144"/>
      <c r="O9" s="51" t="str" cm="1">
        <f t="array" aca="1" ref="O9" ca="1">IF(AND(F9:L9&lt;&gt;""), "（正常）入力済み",IF($C9= "", "（複数入力）未入力","（エラー）一部未入力"))</f>
        <v>（複数入力）未入力</v>
      </c>
    </row>
    <row r="10" spans="2:21" ht="15" customHeight="1">
      <c r="C10" s="70" t="str" cm="1">
        <f t="array" aca="1" ref="C10" ca="1">IF(SUMPRODUCT(--($D10:$M10 &lt;&gt; "")),RIGHT(YEAR(TODAY()),2)&amp;"03"&amp;REPT("0",4-LEN(ROW()-8))&amp;ROW()-8,"")</f>
        <v/>
      </c>
      <c r="D10" s="144"/>
      <c r="E10" s="144"/>
      <c r="F10" s="67"/>
      <c r="G10" s="67"/>
      <c r="H10" s="91"/>
      <c r="I10" s="91"/>
      <c r="J10" s="91"/>
      <c r="K10" s="195"/>
      <c r="L10" s="195"/>
      <c r="M10" s="144"/>
      <c r="O10" s="51" t="str" cm="1">
        <f t="array" aca="1" ref="O10" ca="1">IF(AND(F10:L10&lt;&gt;""), "（正常）入力済み",IF($C10= "", "（複数入力）未入力","（エラー）一部未入力"))</f>
        <v>（複数入力）未入力</v>
      </c>
    </row>
    <row r="11" spans="2:21" ht="15" customHeight="1">
      <c r="C11" s="70" t="str" cm="1">
        <f t="array" aca="1" ref="C11" ca="1">IF(SUMPRODUCT(--($D11:$M11 &lt;&gt; "")),RIGHT(YEAR(TODAY()),2)&amp;"03"&amp;REPT("0",4-LEN(ROW()-8))&amp;ROW()-8,"")</f>
        <v/>
      </c>
      <c r="D11" s="144"/>
      <c r="E11" s="144"/>
      <c r="F11" s="67"/>
      <c r="G11" s="67"/>
      <c r="H11" s="91"/>
      <c r="I11" s="91"/>
      <c r="J11" s="91"/>
      <c r="K11" s="195"/>
      <c r="L11" s="195"/>
      <c r="M11" s="144"/>
      <c r="O11" s="51" t="str" cm="1">
        <f t="array" aca="1" ref="O11" ca="1">IF(AND(F11:L11&lt;&gt;""), "（正常）入力済み",IF($C11= "", "（複数入力）未入力","（エラー）一部未入力"))</f>
        <v>（複数入力）未入力</v>
      </c>
    </row>
    <row r="12" spans="2:21" ht="15" customHeight="1">
      <c r="C12" s="70" t="str" cm="1">
        <f t="array" aca="1" ref="C12" ca="1">IF(SUMPRODUCT(--($D12:$M12 &lt;&gt; "")),RIGHT(YEAR(TODAY()),2)&amp;"03"&amp;REPT("0",4-LEN(ROW()-8))&amp;ROW()-8,"")</f>
        <v/>
      </c>
      <c r="D12" s="144"/>
      <c r="E12" s="144"/>
      <c r="F12" s="67"/>
      <c r="G12" s="67"/>
      <c r="H12" s="91"/>
      <c r="I12" s="91"/>
      <c r="J12" s="91"/>
      <c r="K12" s="195"/>
      <c r="L12" s="195"/>
      <c r="M12" s="144"/>
      <c r="O12" s="51" t="str" cm="1">
        <f t="array" aca="1" ref="O12" ca="1">IF(AND(F12:L12&lt;&gt;""), "（正常）入力済み",IF($C12= "", "（複数入力）未入力","（エラー）一部未入力"))</f>
        <v>（複数入力）未入力</v>
      </c>
    </row>
    <row r="13" spans="2:21" ht="15" customHeight="1">
      <c r="C13" s="70" t="str" cm="1">
        <f t="array" aca="1" ref="C13" ca="1">IF(SUMPRODUCT(--($D13:$M13 &lt;&gt; "")),RIGHT(YEAR(TODAY()),2)&amp;"03"&amp;REPT("0",4-LEN(ROW()-8))&amp;ROW()-8,"")</f>
        <v/>
      </c>
      <c r="D13" s="144"/>
      <c r="E13" s="144"/>
      <c r="F13" s="67"/>
      <c r="G13" s="67"/>
      <c r="H13" s="91"/>
      <c r="I13" s="91"/>
      <c r="J13" s="91"/>
      <c r="K13" s="195"/>
      <c r="L13" s="195"/>
      <c r="M13" s="144"/>
      <c r="O13" s="51" t="str" cm="1">
        <f t="array" aca="1" ref="O13" ca="1">IF(AND(F13:L13&lt;&gt;""), "（正常）入力済み",IF($C13= "", "（複数入力）未入力","（エラー）一部未入力"))</f>
        <v>（複数入力）未入力</v>
      </c>
    </row>
    <row r="14" spans="2:21" ht="15" customHeight="1">
      <c r="C14" s="70" t="str" cm="1">
        <f t="array" aca="1" ref="C14" ca="1">IF(SUMPRODUCT(--($D14:$M14 &lt;&gt; "")),RIGHT(YEAR(TODAY()),2)&amp;"03"&amp;REPT("0",4-LEN(ROW()-8))&amp;ROW()-8,"")</f>
        <v/>
      </c>
      <c r="D14" s="144"/>
      <c r="E14" s="144"/>
      <c r="F14" s="67"/>
      <c r="G14" s="67"/>
      <c r="H14" s="91"/>
      <c r="I14" s="91"/>
      <c r="J14" s="91"/>
      <c r="K14" s="195"/>
      <c r="L14" s="195"/>
      <c r="M14" s="144"/>
      <c r="O14" s="51" t="str" cm="1">
        <f t="array" aca="1" ref="O14" ca="1">IF(AND(F14:L14&lt;&gt;""), "（正常）入力済み",IF($C14= "", "（複数入力）未入力","（エラー）一部未入力"))</f>
        <v>（複数入力）未入力</v>
      </c>
    </row>
    <row r="15" spans="2:21" ht="15" customHeight="1">
      <c r="C15" s="70" t="str" cm="1">
        <f t="array" aca="1" ref="C15" ca="1">IF(SUMPRODUCT(--($D15:$M15 &lt;&gt; "")),RIGHT(YEAR(TODAY()),2)&amp;"03"&amp;REPT("0",4-LEN(ROW()-8))&amp;ROW()-8,"")</f>
        <v/>
      </c>
      <c r="D15" s="144"/>
      <c r="E15" s="144"/>
      <c r="F15" s="67"/>
      <c r="G15" s="67"/>
      <c r="H15" s="91"/>
      <c r="I15" s="91"/>
      <c r="J15" s="91"/>
      <c r="K15" s="195"/>
      <c r="L15" s="195"/>
      <c r="M15" s="144"/>
      <c r="O15" s="51" t="str" cm="1">
        <f t="array" aca="1" ref="O15" ca="1">IF(AND(F15:L15&lt;&gt;""), "（正常）入力済み",IF($C15= "", "（複数入力）未入力","（エラー）一部未入力"))</f>
        <v>（複数入力）未入力</v>
      </c>
    </row>
    <row r="16" spans="2:21" ht="15" customHeight="1">
      <c r="C16" s="70" t="str" cm="1">
        <f t="array" aca="1" ref="C16" ca="1">IF(SUMPRODUCT(--($D16:$M16 &lt;&gt; "")),RIGHT(YEAR(TODAY()),2)&amp;"03"&amp;REPT("0",4-LEN(ROW()-8))&amp;ROW()-8,"")</f>
        <v/>
      </c>
      <c r="D16" s="144"/>
      <c r="E16" s="144"/>
      <c r="F16" s="67"/>
      <c r="G16" s="67"/>
      <c r="H16" s="91"/>
      <c r="I16" s="91"/>
      <c r="J16" s="91"/>
      <c r="K16" s="195"/>
      <c r="L16" s="195"/>
      <c r="M16" s="144"/>
      <c r="O16" s="51" t="str" cm="1">
        <f t="array" aca="1" ref="O16" ca="1">IF(AND(F16:L16&lt;&gt;""), "（正常）入力済み",IF($C16= "", "（複数入力）未入力","（エラー）一部未入力"))</f>
        <v>（複数入力）未入力</v>
      </c>
    </row>
    <row r="17" spans="3:15" ht="15" customHeight="1">
      <c r="C17" s="70" t="str" cm="1">
        <f t="array" aca="1" ref="C17" ca="1">IF(SUMPRODUCT(--($D17:$M17 &lt;&gt; "")),RIGHT(YEAR(TODAY()),2)&amp;"03"&amp;REPT("0",4-LEN(ROW()-8))&amp;ROW()-8,"")</f>
        <v/>
      </c>
      <c r="D17" s="144"/>
      <c r="E17" s="144"/>
      <c r="F17" s="67"/>
      <c r="G17" s="67"/>
      <c r="H17" s="91"/>
      <c r="I17" s="91"/>
      <c r="J17" s="91"/>
      <c r="K17" s="195"/>
      <c r="L17" s="195"/>
      <c r="M17" s="144"/>
      <c r="O17" s="51" t="str" cm="1">
        <f t="array" aca="1" ref="O17" ca="1">IF(AND(F17:L17&lt;&gt;""), "（正常）入力済み",IF($C17= "", "（複数入力）未入力","（エラー）一部未入力"))</f>
        <v>（複数入力）未入力</v>
      </c>
    </row>
    <row r="18" spans="3:15" ht="15" customHeight="1">
      <c r="C18" s="70" t="str" cm="1">
        <f t="array" aca="1" ref="C18" ca="1">IF(SUMPRODUCT(--($D18:$M18 &lt;&gt; "")),RIGHT(YEAR(TODAY()),2)&amp;"03"&amp;REPT("0",4-LEN(ROW()-8))&amp;ROW()-8,"")</f>
        <v/>
      </c>
      <c r="D18" s="144"/>
      <c r="E18" s="144"/>
      <c r="F18" s="67"/>
      <c r="G18" s="67"/>
      <c r="H18" s="91"/>
      <c r="I18" s="91"/>
      <c r="J18" s="91"/>
      <c r="K18" s="195"/>
      <c r="L18" s="195"/>
      <c r="M18" s="144"/>
      <c r="O18" s="51" t="str" cm="1">
        <f t="array" aca="1" ref="O18" ca="1">IF(AND(F18:L18&lt;&gt;""), "（正常）入力済み",IF($C18= "", "（複数入力）未入力","（エラー）一部未入力"))</f>
        <v>（複数入力）未入力</v>
      </c>
    </row>
    <row r="19" spans="3:15" ht="15" customHeight="1">
      <c r="C19" s="70" t="str" cm="1">
        <f t="array" aca="1" ref="C19" ca="1">IF(SUMPRODUCT(--($D19:$M19 &lt;&gt; "")),RIGHT(YEAR(TODAY()),2)&amp;"03"&amp;REPT("0",4-LEN(ROW()-8))&amp;ROW()-8,"")</f>
        <v/>
      </c>
      <c r="D19" s="144"/>
      <c r="E19" s="144"/>
      <c r="F19" s="67"/>
      <c r="G19" s="67"/>
      <c r="H19" s="91"/>
      <c r="I19" s="91"/>
      <c r="J19" s="91"/>
      <c r="K19" s="195"/>
      <c r="L19" s="195"/>
      <c r="M19" s="144"/>
      <c r="O19" s="51" t="str" cm="1">
        <f t="array" aca="1" ref="O19" ca="1">IF(AND(F19:L19&lt;&gt;""), "（正常）入力済み",IF($C19= "", "（複数入力）未入力","（エラー）一部未入力"))</f>
        <v>（複数入力）未入力</v>
      </c>
    </row>
    <row r="20" spans="3:15" ht="15" customHeight="1">
      <c r="C20" s="70" t="str" cm="1">
        <f t="array" aca="1" ref="C20" ca="1">IF(SUMPRODUCT(--($D20:$M20 &lt;&gt; "")),RIGHT(YEAR(TODAY()),2)&amp;"03"&amp;REPT("0",4-LEN(ROW()-8))&amp;ROW()-8,"")</f>
        <v/>
      </c>
      <c r="D20" s="144"/>
      <c r="E20" s="144"/>
      <c r="F20" s="67"/>
      <c r="G20" s="67"/>
      <c r="H20" s="91"/>
      <c r="I20" s="91"/>
      <c r="J20" s="91"/>
      <c r="K20" s="195"/>
      <c r="L20" s="195"/>
      <c r="M20" s="144"/>
      <c r="O20" s="51" t="str" cm="1">
        <f t="array" aca="1" ref="O20" ca="1">IF(AND(F20:L20&lt;&gt;""), "（正常）入力済み",IF($C20= "", "（複数入力）未入力","（エラー）一部未入力"))</f>
        <v>（複数入力）未入力</v>
      </c>
    </row>
    <row r="21" spans="3:15" ht="15" customHeight="1">
      <c r="C21" s="70" t="str" cm="1">
        <f t="array" aca="1" ref="C21" ca="1">IF(SUMPRODUCT(--($D21:$M21 &lt;&gt; "")),RIGHT(YEAR(TODAY()),2)&amp;"03"&amp;REPT("0",4-LEN(ROW()-8))&amp;ROW()-8,"")</f>
        <v/>
      </c>
      <c r="D21" s="144"/>
      <c r="E21" s="144"/>
      <c r="F21" s="67"/>
      <c r="G21" s="67"/>
      <c r="H21" s="91"/>
      <c r="I21" s="91"/>
      <c r="J21" s="91"/>
      <c r="K21" s="195"/>
      <c r="L21" s="195"/>
      <c r="M21" s="144"/>
      <c r="O21" s="51" t="str" cm="1">
        <f t="array" aca="1" ref="O21" ca="1">IF(AND(F21:L21&lt;&gt;""), "（正常）入力済み",IF($C21= "", "（複数入力）未入力","（エラー）一部未入力"))</f>
        <v>（複数入力）未入力</v>
      </c>
    </row>
    <row r="22" spans="3:15" ht="15" customHeight="1">
      <c r="C22" s="70" t="str" cm="1">
        <f t="array" aca="1" ref="C22" ca="1">IF(SUMPRODUCT(--($D22:$M22 &lt;&gt; "")),RIGHT(YEAR(TODAY()),2)&amp;"03"&amp;REPT("0",4-LEN(ROW()-8))&amp;ROW()-8,"")</f>
        <v/>
      </c>
      <c r="D22" s="144"/>
      <c r="E22" s="144"/>
      <c r="F22" s="67"/>
      <c r="G22" s="67"/>
      <c r="H22" s="91"/>
      <c r="I22" s="91"/>
      <c r="J22" s="91"/>
      <c r="K22" s="195"/>
      <c r="L22" s="195"/>
      <c r="M22" s="144"/>
      <c r="O22" s="51" t="str" cm="1">
        <f t="array" aca="1" ref="O22" ca="1">IF(AND(F22:L22&lt;&gt;""), "（正常）入力済み",IF($C22= "", "（複数入力）未入力","（エラー）一部未入力"))</f>
        <v>（複数入力）未入力</v>
      </c>
    </row>
    <row r="23" spans="3:15" ht="15" customHeight="1">
      <c r="C23" s="70" t="str" cm="1">
        <f t="array" aca="1" ref="C23" ca="1">IF(SUMPRODUCT(--($D23:$M23 &lt;&gt; "")),RIGHT(YEAR(TODAY()),2)&amp;"03"&amp;REPT("0",4-LEN(ROW()-8))&amp;ROW()-8,"")</f>
        <v/>
      </c>
      <c r="D23" s="144"/>
      <c r="E23" s="144"/>
      <c r="F23" s="67"/>
      <c r="G23" s="67"/>
      <c r="H23" s="91"/>
      <c r="I23" s="91"/>
      <c r="J23" s="91"/>
      <c r="K23" s="195"/>
      <c r="L23" s="195"/>
      <c r="M23" s="144"/>
      <c r="O23" s="51" t="str" cm="1">
        <f t="array" aca="1" ref="O23" ca="1">IF(AND(F23:L23&lt;&gt;""), "（正常）入力済み",IF($C23= "", "（複数入力）未入力","（エラー）一部未入力"))</f>
        <v>（複数入力）未入力</v>
      </c>
    </row>
    <row r="24" spans="3:15" ht="15" customHeight="1">
      <c r="C24" s="70" t="str" cm="1">
        <f t="array" aca="1" ref="C24" ca="1">IF(SUMPRODUCT(--($D24:$M24 &lt;&gt; "")),RIGHT(YEAR(TODAY()),2)&amp;"03"&amp;REPT("0",4-LEN(ROW()-8))&amp;ROW()-8,"")</f>
        <v/>
      </c>
      <c r="D24" s="144"/>
      <c r="E24" s="144"/>
      <c r="F24" s="67"/>
      <c r="G24" s="67"/>
      <c r="H24" s="91"/>
      <c r="I24" s="91"/>
      <c r="J24" s="91"/>
      <c r="K24" s="195"/>
      <c r="L24" s="195"/>
      <c r="M24" s="144"/>
      <c r="O24" s="51" t="str" cm="1">
        <f t="array" aca="1" ref="O24" ca="1">IF(AND(F24:L24&lt;&gt;""), "（正常）入力済み",IF($C24= "", "（複数入力）未入力","（エラー）一部未入力"))</f>
        <v>（複数入力）未入力</v>
      </c>
    </row>
    <row r="25" spans="3:15" ht="15" customHeight="1">
      <c r="C25" s="70" t="str" cm="1">
        <f t="array" aca="1" ref="C25" ca="1">IF(SUMPRODUCT(--($D25:$M25 &lt;&gt; "")),RIGHT(YEAR(TODAY()),2)&amp;"03"&amp;REPT("0",4-LEN(ROW()-8))&amp;ROW()-8,"")</f>
        <v/>
      </c>
      <c r="D25" s="144"/>
      <c r="E25" s="144"/>
      <c r="F25" s="67"/>
      <c r="G25" s="67"/>
      <c r="H25" s="91"/>
      <c r="I25" s="91"/>
      <c r="J25" s="91"/>
      <c r="K25" s="195"/>
      <c r="L25" s="195"/>
      <c r="M25" s="144"/>
      <c r="O25" s="51" t="str" cm="1">
        <f t="array" aca="1" ref="O25" ca="1">IF(AND(F25:L25&lt;&gt;""), "（正常）入力済み",IF($C25= "", "（複数入力）未入力","（エラー）一部未入力"))</f>
        <v>（複数入力）未入力</v>
      </c>
    </row>
    <row r="26" spans="3:15" ht="15" customHeight="1">
      <c r="C26" s="70" t="str" cm="1">
        <f t="array" aca="1" ref="C26" ca="1">IF(SUMPRODUCT(--($D26:$M26 &lt;&gt; "")),RIGHT(YEAR(TODAY()),2)&amp;"03"&amp;REPT("0",4-LEN(ROW()-8))&amp;ROW()-8,"")</f>
        <v/>
      </c>
      <c r="D26" s="144"/>
      <c r="E26" s="144"/>
      <c r="F26" s="67"/>
      <c r="G26" s="67"/>
      <c r="H26" s="91"/>
      <c r="I26" s="91"/>
      <c r="J26" s="91"/>
      <c r="K26" s="195"/>
      <c r="L26" s="195"/>
      <c r="M26" s="144"/>
      <c r="O26" s="51" t="str" cm="1">
        <f t="array" aca="1" ref="O26" ca="1">IF(AND(F26:L26&lt;&gt;""), "（正常）入力済み",IF($C26= "", "（複数入力）未入力","（エラー）一部未入力"))</f>
        <v>（複数入力）未入力</v>
      </c>
    </row>
    <row r="27" spans="3:15" ht="15" customHeight="1">
      <c r="C27" s="70" t="str" cm="1">
        <f t="array" aca="1" ref="C27" ca="1">IF(SUMPRODUCT(--($D27:$M27 &lt;&gt; "")),RIGHT(YEAR(TODAY()),2)&amp;"03"&amp;REPT("0",4-LEN(ROW()-8))&amp;ROW()-8,"")</f>
        <v/>
      </c>
      <c r="D27" s="144"/>
      <c r="E27" s="144"/>
      <c r="F27" s="67"/>
      <c r="G27" s="67"/>
      <c r="H27" s="91"/>
      <c r="I27" s="91"/>
      <c r="J27" s="91"/>
      <c r="K27" s="195"/>
      <c r="L27" s="195"/>
      <c r="M27" s="144"/>
      <c r="O27" s="51" t="str" cm="1">
        <f t="array" aca="1" ref="O27" ca="1">IF(AND(F27:L27&lt;&gt;""), "（正常）入力済み",IF($C27= "", "（複数入力）未入力","（エラー）一部未入力"))</f>
        <v>（複数入力）未入力</v>
      </c>
    </row>
    <row r="28" spans="3:15" ht="15" customHeight="1">
      <c r="C28" s="70" t="str" cm="1">
        <f t="array" aca="1" ref="C28" ca="1">IF(SUMPRODUCT(--($D28:$M28 &lt;&gt; "")),RIGHT(YEAR(TODAY()),2)&amp;"03"&amp;REPT("0",4-LEN(ROW()-8))&amp;ROW()-8,"")</f>
        <v/>
      </c>
      <c r="D28" s="144"/>
      <c r="E28" s="144"/>
      <c r="F28" s="67"/>
      <c r="G28" s="67"/>
      <c r="H28" s="91"/>
      <c r="I28" s="91"/>
      <c r="J28" s="91"/>
      <c r="K28" s="195"/>
      <c r="L28" s="195"/>
      <c r="M28" s="144"/>
      <c r="O28" s="51" t="str" cm="1">
        <f t="array" aca="1" ref="O28" ca="1">IF(AND(F28:L28&lt;&gt;""), "（正常）入力済み",IF($C28= "", "（複数入力）未入力","（エラー）一部未入力"))</f>
        <v>（複数入力）未入力</v>
      </c>
    </row>
    <row r="29" spans="3:15" ht="15" customHeight="1">
      <c r="C29" s="70" t="str" cm="1">
        <f t="array" aca="1" ref="C29" ca="1">IF(SUMPRODUCT(--($D29:$M29 &lt;&gt; "")),RIGHT(YEAR(TODAY()),2)&amp;"03"&amp;REPT("0",4-LEN(ROW()-8))&amp;ROW()-8,"")</f>
        <v/>
      </c>
      <c r="D29" s="144"/>
      <c r="E29" s="144"/>
      <c r="F29" s="67"/>
      <c r="G29" s="67"/>
      <c r="H29" s="91"/>
      <c r="I29" s="91"/>
      <c r="J29" s="91"/>
      <c r="K29" s="195"/>
      <c r="L29" s="195"/>
      <c r="M29" s="144"/>
      <c r="O29" s="51" t="str" cm="1">
        <f t="array" aca="1" ref="O29" ca="1">IF(AND(F29:L29&lt;&gt;""), "（正常）入力済み",IF($C29= "", "（複数入力）未入力","（エラー）一部未入力"))</f>
        <v>（複数入力）未入力</v>
      </c>
    </row>
    <row r="30" spans="3:15" ht="15" customHeight="1">
      <c r="C30" s="70" t="str" cm="1">
        <f t="array" aca="1" ref="C30" ca="1">IF(SUMPRODUCT(--($D30:$M30 &lt;&gt; "")),RIGHT(YEAR(TODAY()),2)&amp;"03"&amp;REPT("0",4-LEN(ROW()-8))&amp;ROW()-8,"")</f>
        <v/>
      </c>
      <c r="D30" s="144"/>
      <c r="E30" s="144"/>
      <c r="F30" s="67"/>
      <c r="G30" s="67"/>
      <c r="H30" s="91"/>
      <c r="I30" s="91"/>
      <c r="J30" s="91"/>
      <c r="K30" s="195"/>
      <c r="L30" s="195"/>
      <c r="M30" s="144"/>
      <c r="O30" s="51" t="str" cm="1">
        <f t="array" aca="1" ref="O30" ca="1">IF(AND(F30:L30&lt;&gt;""), "（正常）入力済み",IF($C30= "", "（複数入力）未入力","（エラー）一部未入力"))</f>
        <v>（複数入力）未入力</v>
      </c>
    </row>
    <row r="31" spans="3:15" ht="15" customHeight="1">
      <c r="C31" s="70" t="str" cm="1">
        <f t="array" aca="1" ref="C31" ca="1">IF(SUMPRODUCT(--($D31:$M31 &lt;&gt; "")),RIGHT(YEAR(TODAY()),2)&amp;"03"&amp;REPT("0",4-LEN(ROW()-8))&amp;ROW()-8,"")</f>
        <v/>
      </c>
      <c r="D31" s="144"/>
      <c r="E31" s="144"/>
      <c r="F31" s="67"/>
      <c r="G31" s="67"/>
      <c r="H31" s="91"/>
      <c r="I31" s="91"/>
      <c r="J31" s="91"/>
      <c r="K31" s="195"/>
      <c r="L31" s="195"/>
      <c r="M31" s="144"/>
      <c r="O31" s="51" t="str" cm="1">
        <f t="array" aca="1" ref="O31" ca="1">IF(AND(F31:L31&lt;&gt;""), "（正常）入力済み",IF($C31= "", "（複数入力）未入力","（エラー）一部未入力"))</f>
        <v>（複数入力）未入力</v>
      </c>
    </row>
    <row r="32" spans="3:15" ht="15" customHeight="1">
      <c r="C32" s="70" t="str" cm="1">
        <f t="array" aca="1" ref="C32" ca="1">IF(SUMPRODUCT(--($D32:$M32 &lt;&gt; "")),RIGHT(YEAR(TODAY()),2)&amp;"03"&amp;REPT("0",4-LEN(ROW()-8))&amp;ROW()-8,"")</f>
        <v/>
      </c>
      <c r="D32" s="144"/>
      <c r="E32" s="144"/>
      <c r="F32" s="67"/>
      <c r="G32" s="67"/>
      <c r="H32" s="91"/>
      <c r="I32" s="91"/>
      <c r="J32" s="91"/>
      <c r="K32" s="195"/>
      <c r="L32" s="195"/>
      <c r="M32" s="144"/>
      <c r="O32" s="51" t="str" cm="1">
        <f t="array" aca="1" ref="O32" ca="1">IF(AND(F32:L32&lt;&gt;""), "（正常）入力済み",IF($C32= "", "（複数入力）未入力","（エラー）一部未入力"))</f>
        <v>（複数入力）未入力</v>
      </c>
    </row>
    <row r="33" spans="3:15" ht="15" customHeight="1">
      <c r="C33" s="70" t="str" cm="1">
        <f t="array" aca="1" ref="C33" ca="1">IF(SUMPRODUCT(--($D33:$M33 &lt;&gt; "")),RIGHT(YEAR(TODAY()),2)&amp;"03"&amp;REPT("0",4-LEN(ROW()-8))&amp;ROW()-8,"")</f>
        <v/>
      </c>
      <c r="D33" s="144"/>
      <c r="E33" s="144"/>
      <c r="F33" s="67"/>
      <c r="G33" s="67"/>
      <c r="H33" s="91"/>
      <c r="I33" s="91"/>
      <c r="J33" s="91"/>
      <c r="K33" s="195"/>
      <c r="L33" s="195"/>
      <c r="M33" s="144"/>
      <c r="O33" s="51" t="str" cm="1">
        <f t="array" aca="1" ref="O33" ca="1">IF(AND(F33:L33&lt;&gt;""), "（正常）入力済み",IF($C33= "", "（複数入力）未入力","（エラー）一部未入力"))</f>
        <v>（複数入力）未入力</v>
      </c>
    </row>
    <row r="34" spans="3:15" ht="15" customHeight="1">
      <c r="C34" s="70" t="str" cm="1">
        <f t="array" aca="1" ref="C34" ca="1">IF(SUMPRODUCT(--($D34:$M34 &lt;&gt; "")),RIGHT(YEAR(TODAY()),2)&amp;"03"&amp;REPT("0",4-LEN(ROW()-8))&amp;ROW()-8,"")</f>
        <v/>
      </c>
      <c r="D34" s="144"/>
      <c r="E34" s="144"/>
      <c r="F34" s="67"/>
      <c r="G34" s="67"/>
      <c r="H34" s="91"/>
      <c r="I34" s="91"/>
      <c r="J34" s="91"/>
      <c r="K34" s="195"/>
      <c r="L34" s="195"/>
      <c r="M34" s="144"/>
      <c r="O34" s="51" t="str" cm="1">
        <f t="array" aca="1" ref="O34" ca="1">IF(AND(F34:L34&lt;&gt;""), "（正常）入力済み",IF($C34= "", "（複数入力）未入力","（エラー）一部未入力"))</f>
        <v>（複数入力）未入力</v>
      </c>
    </row>
    <row r="35" spans="3:15" ht="15" customHeight="1">
      <c r="C35" s="70" t="str" cm="1">
        <f t="array" aca="1" ref="C35" ca="1">IF(SUMPRODUCT(--($D35:$M35 &lt;&gt; "")),RIGHT(YEAR(TODAY()),2)&amp;"03"&amp;REPT("0",4-LEN(ROW()-8))&amp;ROW()-8,"")</f>
        <v/>
      </c>
      <c r="D35" s="144"/>
      <c r="E35" s="144"/>
      <c r="F35" s="67"/>
      <c r="G35" s="67"/>
      <c r="H35" s="91"/>
      <c r="I35" s="91"/>
      <c r="J35" s="91"/>
      <c r="K35" s="195"/>
      <c r="L35" s="195"/>
      <c r="M35" s="144"/>
      <c r="O35" s="51" t="str" cm="1">
        <f t="array" aca="1" ref="O35" ca="1">IF(AND(F35:L35&lt;&gt;""), "（正常）入力済み",IF($C35= "", "（複数入力）未入力","（エラー）一部未入力"))</f>
        <v>（複数入力）未入力</v>
      </c>
    </row>
    <row r="36" spans="3:15" ht="15" customHeight="1">
      <c r="C36" s="70" t="str" cm="1">
        <f t="array" aca="1" ref="C36" ca="1">IF(SUMPRODUCT(--($D36:$M36 &lt;&gt; "")),RIGHT(YEAR(TODAY()),2)&amp;"03"&amp;REPT("0",4-LEN(ROW()-8))&amp;ROW()-8,"")</f>
        <v/>
      </c>
      <c r="D36" s="144"/>
      <c r="E36" s="144"/>
      <c r="F36" s="67"/>
      <c r="G36" s="67"/>
      <c r="H36" s="91"/>
      <c r="I36" s="91"/>
      <c r="J36" s="91"/>
      <c r="K36" s="195"/>
      <c r="L36" s="195"/>
      <c r="M36" s="144"/>
      <c r="O36" s="51" t="str" cm="1">
        <f t="array" aca="1" ref="O36" ca="1">IF(AND(F36:L36&lt;&gt;""), "（正常）入力済み",IF($C36= "", "（複数入力）未入力","（エラー）一部未入力"))</f>
        <v>（複数入力）未入力</v>
      </c>
    </row>
    <row r="37" spans="3:15" ht="15" customHeight="1">
      <c r="C37" s="70" t="str" cm="1">
        <f t="array" aca="1" ref="C37" ca="1">IF(SUMPRODUCT(--($D37:$M37 &lt;&gt; "")),RIGHT(YEAR(TODAY()),2)&amp;"03"&amp;REPT("0",4-LEN(ROW()-8))&amp;ROW()-8,"")</f>
        <v/>
      </c>
      <c r="D37" s="144"/>
      <c r="E37" s="144"/>
      <c r="F37" s="67"/>
      <c r="G37" s="67"/>
      <c r="H37" s="91"/>
      <c r="I37" s="91"/>
      <c r="J37" s="91"/>
      <c r="K37" s="195"/>
      <c r="L37" s="195"/>
      <c r="M37" s="144"/>
      <c r="O37" s="51" t="str" cm="1">
        <f t="array" aca="1" ref="O37" ca="1">IF(AND(F37:L37&lt;&gt;""), "（正常）入力済み",IF($C37= "", "（複数入力）未入力","（エラー）一部未入力"))</f>
        <v>（複数入力）未入力</v>
      </c>
    </row>
    <row r="38" spans="3:15" ht="15" customHeight="1">
      <c r="C38" s="70" t="str" cm="1">
        <f t="array" aca="1" ref="C38" ca="1">IF(SUMPRODUCT(--($D38:$M38 &lt;&gt; "")),RIGHT(YEAR(TODAY()),2)&amp;"03"&amp;REPT("0",4-LEN(ROW()-8))&amp;ROW()-8,"")</f>
        <v/>
      </c>
      <c r="D38" s="144"/>
      <c r="E38" s="144"/>
      <c r="F38" s="67"/>
      <c r="G38" s="67"/>
      <c r="H38" s="91"/>
      <c r="I38" s="91"/>
      <c r="J38" s="91"/>
      <c r="K38" s="195"/>
      <c r="L38" s="195"/>
      <c r="M38" s="144"/>
      <c r="O38" s="51" t="str" cm="1">
        <f t="array" aca="1" ref="O38" ca="1">IF(AND(F38:L38&lt;&gt;""), "（正常）入力済み",IF($C38= "", "（複数入力）未入力","（エラー）一部未入力"))</f>
        <v>（複数入力）未入力</v>
      </c>
    </row>
    <row r="39" spans="3:15" ht="15">
      <c r="C39" s="243"/>
      <c r="D39" s="243"/>
      <c r="E39" s="243"/>
      <c r="F39" s="243"/>
      <c r="G39" s="243"/>
      <c r="H39" s="243"/>
      <c r="I39" s="243"/>
      <c r="J39" s="243"/>
      <c r="O39" s="51"/>
    </row>
    <row r="40" spans="3:15" ht="15">
      <c r="O40" s="51"/>
    </row>
    <row r="41" spans="3:15" ht="15">
      <c r="O41" s="51"/>
    </row>
    <row r="42" spans="3:15" ht="15">
      <c r="O42" s="51"/>
    </row>
    <row r="43" spans="3:15" ht="15">
      <c r="O43" s="51"/>
    </row>
    <row r="44" spans="3:15" ht="15">
      <c r="O44" s="51"/>
    </row>
    <row r="45" spans="3:15" ht="15">
      <c r="O45" s="51"/>
    </row>
    <row r="46" spans="3:15" ht="15">
      <c r="O46" s="51"/>
    </row>
    <row r="47" spans="3:15" ht="15">
      <c r="O47" s="51"/>
    </row>
    <row r="48" spans="3:15" ht="15">
      <c r="O48" s="51"/>
    </row>
    <row r="49" spans="15:15" ht="15">
      <c r="O49" s="51"/>
    </row>
    <row r="50" spans="15:15" ht="15">
      <c r="O50" s="51"/>
    </row>
    <row r="51" spans="15:15" ht="15">
      <c r="O51" s="51"/>
    </row>
    <row r="52" spans="15:15" ht="15">
      <c r="O52" s="51"/>
    </row>
    <row r="54" spans="15:15">
      <c r="O54" s="54"/>
    </row>
  </sheetData>
  <mergeCells count="10">
    <mergeCell ref="E7:E8"/>
    <mergeCell ref="M7:M8"/>
    <mergeCell ref="C39:J39"/>
    <mergeCell ref="F7:F8"/>
    <mergeCell ref="K7:K8"/>
    <mergeCell ref="L7:L8"/>
    <mergeCell ref="C7:C8"/>
    <mergeCell ref="G7:G8"/>
    <mergeCell ref="H7:J7"/>
    <mergeCell ref="D7:D8"/>
  </mergeCells>
  <phoneticPr fontId="1"/>
  <conditionalFormatting sqref="D9:M38">
    <cfRule type="expression" dxfId="3" priority="4">
      <formula>#REF!="OFF"</formula>
    </cfRule>
  </conditionalFormatting>
  <conditionalFormatting sqref="O6:O1048576">
    <cfRule type="containsText" dxfId="2" priority="1" operator="containsText" text="（注意）">
      <formula>NOT(ISERROR(SEARCH("（注意）",O6)))</formula>
    </cfRule>
    <cfRule type="containsText" dxfId="1" priority="2" operator="containsText" text="（正常）">
      <formula>NOT(ISERROR(SEARCH("（正常）",O6)))</formula>
    </cfRule>
    <cfRule type="containsText" dxfId="0" priority="3" operator="containsText" text="（エラー）">
      <formula>NOT(ISERROR(SEARCH("（エラー）",O6)))</formula>
    </cfRule>
  </conditionalFormatting>
  <dataValidations count="3">
    <dataValidation type="list" allowBlank="1" showInputMessage="1" showErrorMessage="1" sqref="F9:F38" xr:uid="{00000000-0002-0000-0700-000000000000}">
      <formula1>既存建築物_建物区分</formula1>
    </dataValidation>
    <dataValidation type="list" allowBlank="1" showInputMessage="1" showErrorMessage="1" sqref="G9:G38" xr:uid="{00000000-0002-0000-0700-000001000000}">
      <formula1>区市町村</formula1>
    </dataValidation>
    <dataValidation type="decimal" operator="greaterThanOrEqual" allowBlank="1" showInputMessage="1" showErrorMessage="1" sqref="H9:J38" xr:uid="{00000000-0002-0000-0700-000002000000}">
      <formula1>0</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B1:AK32"/>
  <sheetViews>
    <sheetView zoomScaleNormal="100" workbookViewId="0"/>
  </sheetViews>
  <sheetFormatPr defaultColWidth="9" defaultRowHeight="13.5"/>
  <cols>
    <col min="1" max="1" width="1.5" style="1" customWidth="1"/>
    <col min="2" max="2" width="2.875" style="1" customWidth="1"/>
    <col min="3" max="3" width="12.625" style="1" customWidth="1"/>
    <col min="4" max="4" width="13.875" style="1" bestFit="1" customWidth="1"/>
    <col min="5" max="10" width="11.625" style="1" customWidth="1"/>
    <col min="11" max="12" width="17.875" style="1" customWidth="1"/>
    <col min="13" max="13" width="16.5" style="1" customWidth="1"/>
    <col min="14" max="14" width="17" style="1" customWidth="1"/>
    <col min="15" max="19" width="9" style="1"/>
    <col min="20" max="20" width="36.375" style="1" hidden="1" customWidth="1"/>
    <col min="21" max="21" width="5.5" style="1" hidden="1" customWidth="1"/>
    <col min="22" max="22" width="3.5" style="1" hidden="1" customWidth="1"/>
    <col min="23" max="23" width="19.25" style="1" hidden="1" customWidth="1"/>
    <col min="24" max="24" width="2.5" style="1" hidden="1" customWidth="1"/>
    <col min="25" max="25" width="3.5" style="1" hidden="1" customWidth="1"/>
    <col min="26" max="26" width="17.25" style="1" hidden="1" customWidth="1"/>
    <col min="27" max="27" width="2.5" style="1" hidden="1" customWidth="1"/>
    <col min="28" max="28" width="3.5" style="1" hidden="1" customWidth="1"/>
    <col min="29" max="29" width="39.125" style="1" hidden="1" customWidth="1"/>
    <col min="30" max="30" width="2.5" style="1" hidden="1" customWidth="1"/>
    <col min="31" max="31" width="3.5" style="1" hidden="1" customWidth="1"/>
    <col min="32" max="32" width="19.25" style="1" hidden="1" customWidth="1"/>
    <col min="33" max="33" width="2.5" style="1" hidden="1" customWidth="1"/>
    <col min="34" max="34" width="3.5" style="1" hidden="1" customWidth="1"/>
    <col min="35" max="35" width="17.25" style="1" hidden="1" customWidth="1"/>
    <col min="36" max="36" width="2.5" style="1" hidden="1" customWidth="1"/>
    <col min="37" max="37" width="3.5" style="1" hidden="1" customWidth="1"/>
    <col min="38" max="16384" width="9" style="1"/>
  </cols>
  <sheetData>
    <row r="1" spans="2:37" ht="15.75" customHeight="1">
      <c r="B1" s="36" t="s">
        <v>124</v>
      </c>
      <c r="E1" s="11"/>
      <c r="M1" s="23"/>
      <c r="N1" s="164"/>
    </row>
    <row r="2" spans="2:37" ht="9" customHeight="1"/>
    <row r="3" spans="2:37" ht="15" customHeight="1">
      <c r="B3" s="1" t="s">
        <v>125</v>
      </c>
      <c r="J3" s="72"/>
    </row>
    <row r="4" spans="2:37" ht="15" customHeight="1">
      <c r="C4" s="1" t="s">
        <v>126</v>
      </c>
      <c r="T4" s="1" t="s">
        <v>276</v>
      </c>
    </row>
    <row r="5" spans="2:37" ht="15" customHeight="1">
      <c r="C5" s="341" t="s">
        <v>107</v>
      </c>
      <c r="D5" s="340" t="s">
        <v>127</v>
      </c>
      <c r="E5" s="343" t="s">
        <v>128</v>
      </c>
      <c r="F5" s="344"/>
      <c r="G5" s="345"/>
      <c r="H5" s="343" t="s">
        <v>129</v>
      </c>
      <c r="I5" s="344"/>
      <c r="J5" s="345"/>
      <c r="K5" s="340" t="s">
        <v>130</v>
      </c>
      <c r="L5" s="340" t="s">
        <v>131</v>
      </c>
      <c r="M5" s="340" t="s">
        <v>132</v>
      </c>
      <c r="T5" s="73" t="s">
        <v>271</v>
      </c>
      <c r="U5" s="78"/>
      <c r="V5" s="78"/>
      <c r="W5" s="78"/>
      <c r="X5" s="78"/>
      <c r="Y5" s="78"/>
      <c r="Z5" s="78"/>
      <c r="AA5" s="78"/>
      <c r="AB5" s="78"/>
      <c r="AC5" s="78"/>
      <c r="AD5" s="78"/>
      <c r="AE5" s="78"/>
      <c r="AF5" s="78"/>
      <c r="AG5" s="78"/>
      <c r="AH5" s="78"/>
      <c r="AI5" s="78"/>
      <c r="AJ5" s="78"/>
      <c r="AK5" s="74"/>
    </row>
    <row r="6" spans="2:37" ht="61.5" customHeight="1">
      <c r="C6" s="342"/>
      <c r="D6" s="340"/>
      <c r="E6" s="6" t="s">
        <v>133</v>
      </c>
      <c r="F6" s="6" t="s">
        <v>134</v>
      </c>
      <c r="G6" s="6" t="s">
        <v>135</v>
      </c>
      <c r="H6" s="6" t="s">
        <v>133</v>
      </c>
      <c r="I6" s="6" t="s">
        <v>134</v>
      </c>
      <c r="J6" s="6" t="s">
        <v>135</v>
      </c>
      <c r="K6" s="340"/>
      <c r="L6" s="340"/>
      <c r="M6" s="340"/>
      <c r="T6" s="73" t="s">
        <v>270</v>
      </c>
      <c r="U6" s="78"/>
      <c r="V6" s="78"/>
      <c r="W6" s="78"/>
      <c r="X6" s="78"/>
      <c r="Y6" s="78"/>
      <c r="Z6" s="78"/>
      <c r="AA6" s="78"/>
      <c r="AB6" s="74"/>
      <c r="AC6" s="73" t="s">
        <v>278</v>
      </c>
      <c r="AD6" s="78"/>
      <c r="AE6" s="78"/>
      <c r="AF6" s="78"/>
      <c r="AG6" s="78"/>
      <c r="AH6" s="78"/>
      <c r="AI6" s="78"/>
      <c r="AJ6" s="78"/>
      <c r="AK6" s="74"/>
    </row>
    <row r="7" spans="2:37" ht="15" customHeight="1">
      <c r="C7" s="4">
        <v>1</v>
      </c>
      <c r="D7" s="4">
        <v>0.3</v>
      </c>
      <c r="E7" s="88">
        <f ca="1">COUNTIFS(OFFSET('その４建物別情報（住宅）_入力シート（非公開）'!$F$11, 0, 0, COUNTA('その４建物別情報（住宅）_入力シート（非公開）'!$C:$C)-2, 1), マスタ!$C$4,
                      OFFSET('その４建物別情報（住宅）_入力シート（非公開）'!$H$11, 0, 0, COUNTA('その４建物別情報（住宅）_入力シート（非公開）'!$C:$C)-2, 1), "区分1")</f>
        <v>0</v>
      </c>
      <c r="F7" s="88">
        <f ca="1">COUNTIFS(OFFSET('その４建物別情報（住宅）_入力シート（非公開）'!$F$11, 0, 0, COUNTA('その４建物別情報（住宅）_入力シート（非公開）'!$C:$C)-2, 1), マスタ!$C$4,
                      OFFSET('その４建物別情報（住宅）_入力シート（非公開）'!$H$11, 0, 0, COUNTA('その４建物別情報（住宅）_入力シート（非公開）'!$C:$C)-2, 1), "区分1",
                      OFFSET('その４建物別情報（住宅）_入力シート（非公開）'!$AA$11, 0, 0, COUNTA('その４建物別情報（住宅）_入力シート（非公開）'!$C:$C)-2, 1), マスタ!$F$3)</f>
        <v>0</v>
      </c>
      <c r="G7" s="88">
        <f ca="1">$E$7-$F$7</f>
        <v>0</v>
      </c>
      <c r="H7" s="88">
        <f ca="1">$U$7+$X$7-$AA$7</f>
        <v>0</v>
      </c>
      <c r="I7" s="88">
        <f ca="1">$AD$7+$AG$7-$AJ$7</f>
        <v>0</v>
      </c>
      <c r="J7" s="88">
        <f ca="1">$H$7-$I$7</f>
        <v>0</v>
      </c>
      <c r="K7" s="4" t="s">
        <v>136</v>
      </c>
      <c r="L7" s="4" t="s">
        <v>136</v>
      </c>
      <c r="M7" s="4" t="s">
        <v>136</v>
      </c>
      <c r="T7" s="79" t="s">
        <v>264</v>
      </c>
      <c r="U7" s="80">
        <f ca="1">COUNTIFS(OFFSET('その４建物別情報（住宅）_入力シート（非公開）'!$F$11, 0, 0, COUNTA('その４建物別情報（住宅）_入力シート（非公開）'!$C:$C)-2, 1), "&lt;&gt;" &amp; マスタ!$C$4,
                      OFFSET('その４建物別情報（住宅）_入力シート（非公開）'!$H$11, 0, 0, COUNTA('その４建物別情報（住宅）_入力シート（非公開）'!$C:$C)-2, 1), "区分1")</f>
        <v>0</v>
      </c>
      <c r="V7" s="20" t="s">
        <v>263</v>
      </c>
      <c r="W7" s="81" t="s">
        <v>267</v>
      </c>
      <c r="X7" s="80">
        <f ca="1">COUNTIFS(OFFSET('その４建物別情報（非住宅）_入力シート（非公開）'!$I$11, 0, 0, COUNTA('その４建物別情報（住宅）_入力シート（非公開）'!$C:$C)-2, 1), "区分1")</f>
        <v>0</v>
      </c>
      <c r="Y7" s="20" t="s">
        <v>263</v>
      </c>
      <c r="Z7" s="81" t="s">
        <v>272</v>
      </c>
      <c r="AA7" s="80" cm="1">
        <f t="array" ref="AA7">SUMPRODUCT(--(('その４建物別情報（非住宅）_入力シート（非公開）'!$I$11:$I$2020 = "区分1")
                                  *('その４建物別情報（非住宅）_入力シート（非公開）'!$BD$11:$BD$2020 &lt;&gt; "")))</f>
        <v>0</v>
      </c>
      <c r="AB7" s="21" t="s">
        <v>263</v>
      </c>
      <c r="AC7" s="82" t="s">
        <v>264</v>
      </c>
      <c r="AD7" s="83">
        <f ca="1">COUNTIFS(OFFSET('その４建物別情報（住宅）_入力シート（非公開）'!$F$11, 0, 0, COUNTA('その４建物別情報（住宅）_入力シート（非公開）'!$C:$C)-2, 1), "&lt;&gt;" &amp; マスタ!$C$4,
                      OFFSET('その４建物別情報（住宅）_入力シート（非公開）'!$H$11, 0, 0, COUNTA('その４建物別情報（住宅）_入力シート（非公開）'!$C:$C)-2, 1), "区分1",
                      OFFSET('その４建物別情報（住宅）_入力シート（非公開）'!$AA$11, 0, 0, COUNTA('その４建物別情報（住宅）_入力シート（非公開）'!$C:$C)-2, 1), マスタ!$F$3)</f>
        <v>0</v>
      </c>
      <c r="AE7" s="20" t="s">
        <v>263</v>
      </c>
      <c r="AF7" s="84" t="s">
        <v>267</v>
      </c>
      <c r="AG7" s="83">
        <f ca="1">COUNTIFS(OFFSET('その４建物別情報（非住宅）_入力シート（非公開）'!$I$11, 0, 0, COUNTA('その４建物別情報（住宅）_入力シート（非公開）'!$C:$C)-2, 1), "区分1",
                      OFFSET('その４建物別情報（非住宅）_入力シート（非公開）'!$X$11, 0, 0, COUNTA('その４建物別情報（住宅）_入力シート（非公開）'!$C:$C)-2, 1), マスタ!$F$3)</f>
        <v>0</v>
      </c>
      <c r="AH7" s="20" t="s">
        <v>263</v>
      </c>
      <c r="AI7" s="84" t="s">
        <v>272</v>
      </c>
      <c r="AJ7" s="83" cm="1">
        <f t="array" ref="AJ7">SUMPRODUCT(--(('その４建物別情報（非住宅）_入力シート（非公開）'!$I$11:$I$2020 = "区分1")
                                  *('その４建物別情報（非住宅）_入力シート（非公開）'!$BD$11:$BD$2020 &lt;&gt; "")
                                  *('その４建物別情報（非住宅）_入力シート（非公開）'!$X$11:$X$2020 = マスタ!$F$3)))</f>
        <v>0</v>
      </c>
      <c r="AK7" s="21" t="s">
        <v>263</v>
      </c>
    </row>
    <row r="8" spans="2:37" ht="15" customHeight="1">
      <c r="C8" s="4">
        <v>2</v>
      </c>
      <c r="D8" s="4">
        <v>0.7</v>
      </c>
      <c r="E8" s="88">
        <f ca="1">COUNTIFS(OFFSET('その４建物別情報（住宅）_入力シート（非公開）'!$F$11, 0, 0, COUNTA('その４建物別情報（住宅）_入力シート（非公開）'!$C:$C)-2, 1), マスタ!$C$4,
                      OFFSET('その４建物別情報（住宅）_入力シート（非公開）'!$H$11, 0, 0, COUNTA('その４建物別情報（住宅）_入力シート（非公開）'!$C:$C)-2, 1), "区分2")</f>
        <v>0</v>
      </c>
      <c r="F8" s="88">
        <f ca="1">COUNTIFS(OFFSET('その４建物別情報（住宅）_入力シート（非公開）'!$F$11, 0, 0, COUNTA('その４建物別情報（住宅）_入力シート（非公開）'!$C:$C)-2, 1), マスタ!$C$4,
                      OFFSET('その４建物別情報（住宅）_入力シート（非公開）'!$H$11, 0, 0, COUNTA('その４建物別情報（住宅）_入力シート（非公開）'!$C:$C)-2, 1), "区分2",
                      OFFSET('その４建物別情報（住宅）_入力シート（非公開）'!$AA$11, 0, 0,COUNTA('その４建物別情報（住宅）_入力シート（非公開）'!$C:$C)-2, 1), マスタ!$F$3)</f>
        <v>0</v>
      </c>
      <c r="G8" s="88">
        <f ca="1">$E$8-$F$8</f>
        <v>0</v>
      </c>
      <c r="H8" s="88">
        <f ca="1">$U$8+$X$8-$AA$8</f>
        <v>0</v>
      </c>
      <c r="I8" s="88">
        <f ca="1">$AD$8+$AG$8-$AJ$8</f>
        <v>0</v>
      </c>
      <c r="J8" s="88">
        <f ca="1">$H$8-$I$8</f>
        <v>0</v>
      </c>
      <c r="K8" s="4" t="s">
        <v>136</v>
      </c>
      <c r="L8" s="4" t="s">
        <v>136</v>
      </c>
      <c r="M8" s="4" t="s">
        <v>136</v>
      </c>
      <c r="T8" s="79" t="s">
        <v>265</v>
      </c>
      <c r="U8" s="80">
        <f ca="1">COUNTIFS(OFFSET('その４建物別情報（住宅）_入力シート（非公開）'!$F$11, 0, 0, COUNTA('その４建物別情報（住宅）_入力シート（非公開）'!$C:$C)-2, 1), "&lt;&gt;" &amp; マスタ!$C$4,
                      OFFSET('その４建物別情報（住宅）_入力シート（非公開）'!$H$11, 0, 0, COUNTA('その４建物別情報（住宅）_入力シート（非公開）'!$C:$C)-2, 1), "区分2")</f>
        <v>0</v>
      </c>
      <c r="V8" s="78" t="s">
        <v>263</v>
      </c>
      <c r="W8" s="81" t="s">
        <v>268</v>
      </c>
      <c r="X8" s="80">
        <f ca="1">COUNTIFS(OFFSET('その４建物別情報（非住宅）_入力シート（非公開）'!$I$11, 0, 0, COUNTA('その４建物別情報（住宅）_入力シート（非公開）'!$C:$C)-2, 1), "区分2")</f>
        <v>0</v>
      </c>
      <c r="Y8" s="78" t="s">
        <v>263</v>
      </c>
      <c r="Z8" s="81" t="s">
        <v>273</v>
      </c>
      <c r="AA8" s="80" cm="1">
        <f t="array" ref="AA8">SUMPRODUCT(--(('その４建物別情報（非住宅）_入力シート（非公開）'!$I$11:$I$2020 = "区分2")
                                  *('その４建物別情報（非住宅）_入力シート（非公開）'!$BD$11:$BD$2020 &lt;&gt; "")))</f>
        <v>0</v>
      </c>
      <c r="AB8" s="74" t="s">
        <v>263</v>
      </c>
      <c r="AC8" s="79" t="s">
        <v>265</v>
      </c>
      <c r="AD8" s="80">
        <f ca="1">COUNTIFS(OFFSET('その４建物別情報（住宅）_入力シート（非公開）'!$F$11, 0, 0, COUNTA('その４建物別情報（住宅）_入力シート（非公開）'!$C:$C)-2, 1), "&lt;&gt;" &amp; マスタ!$C$4,
                      OFFSET('その４建物別情報（住宅）_入力シート（非公開）'!$H$11, 0, 0, COUNTA('その４建物別情報（住宅）_入力シート（非公開）'!$C:$C)-2, 1), "区分2",
                      OFFSET('その４建物別情報（住宅）_入力シート（非公開）'!$AA$11, 0, 0, COUNTA('その４建物別情報（住宅）_入力シート（非公開）'!$C:$C)-2, 1), マスタ!$F$3)</f>
        <v>0</v>
      </c>
      <c r="AE8" s="78" t="s">
        <v>263</v>
      </c>
      <c r="AF8" s="81" t="s">
        <v>268</v>
      </c>
      <c r="AG8" s="80">
        <f ca="1">COUNTIFS(OFFSET('その４建物別情報（非住宅）_入力シート（非公開）'!$I$11, 0, 0, COUNTA('その４建物別情報（住宅）_入力シート（非公開）'!$C:$C)-2, 1), "区分2",
                      OFFSET('その４建物別情報（非住宅）_入力シート（非公開）'!$X$11, 0, 0, COUNTA('その４建物別情報（住宅）_入力シート（非公開）'!$C:$C)-2, 1), マスタ!$F$3)</f>
        <v>0</v>
      </c>
      <c r="AH8" s="78" t="s">
        <v>263</v>
      </c>
      <c r="AI8" s="81" t="s">
        <v>273</v>
      </c>
      <c r="AJ8" s="83" cm="1">
        <f t="array" ref="AJ8">SUMPRODUCT(--(('その４建物別情報（非住宅）_入力シート（非公開）'!$I$11:$I$2020 = "区分2")
                                  *('その４建物別情報（非住宅）_入力シート（非公開）'!$BD$11:$BD$2020 &lt;&gt; "")
                                  *('その４建物別情報（非住宅）_入力シート（非公開）'!$X$11:$X$2020 = マスタ!$F$3)))</f>
        <v>0</v>
      </c>
      <c r="AK8" s="74" t="s">
        <v>263</v>
      </c>
    </row>
    <row r="9" spans="2:37" ht="15" customHeight="1">
      <c r="C9" s="4">
        <v>3</v>
      </c>
      <c r="D9" s="4">
        <v>0.85</v>
      </c>
      <c r="E9" s="88">
        <f ca="1">COUNTIFS(OFFSET('その４建物別情報（住宅）_入力シート（非公開）'!$F$11, 0, 0, COUNTA('その４建物別情報（住宅）_入力シート（非公開）'!$C:$C)-2, 1), マスタ!$C$4,
                      OFFSET('その４建物別情報（住宅）_入力シート（非公開）'!$H$11, 0, 0, COUNTA('その４建物別情報（住宅）_入力シート（非公開）'!$C:$C)-2, 1), "区分3")</f>
        <v>0</v>
      </c>
      <c r="F9" s="88">
        <f ca="1">COUNTIFS(OFFSET('その４建物別情報（住宅）_入力シート（非公開）'!$F$11, 0, 0, COUNTA('その４建物別情報（住宅）_入力シート（非公開）'!$C:$C)-2, 1), マスタ!$C$4,
                      OFFSET('その４建物別情報（住宅）_入力シート（非公開）'!$H$11, 0, 0, COUNTA('その４建物別情報（住宅）_入力シート（非公開）'!$C:$C)-2, 1), "区分3",
                      OFFSET('その４建物別情報（住宅）_入力シート（非公開）'!$AA$11,0, 0, COUNTA('その４建物別情報（住宅）_入力シート（非公開）'!$C:$C)-2, 1), マスタ!$F$3)</f>
        <v>0</v>
      </c>
      <c r="G9" s="88">
        <f ca="1">$E$9-$F$9</f>
        <v>0</v>
      </c>
      <c r="H9" s="88">
        <f ca="1">$U$9+$X$9-$AA$9</f>
        <v>0</v>
      </c>
      <c r="I9" s="88">
        <f ca="1">$AD$9+$AG$9-$AJ$9</f>
        <v>0</v>
      </c>
      <c r="J9" s="88">
        <f ca="1">$H$9-$I$9</f>
        <v>0</v>
      </c>
      <c r="K9" s="4" t="s">
        <v>136</v>
      </c>
      <c r="L9" s="4" t="s">
        <v>136</v>
      </c>
      <c r="M9" s="4" t="s">
        <v>136</v>
      </c>
      <c r="T9" s="79" t="s">
        <v>266</v>
      </c>
      <c r="U9" s="80">
        <f ca="1">COUNTIFS(OFFSET('その４建物別情報（住宅）_入力シート（非公開）'!$F$11, 0, 0, COUNTA('その４建物別情報（住宅）_入力シート（非公開）'!$C:$C)-2, 1), "&lt;&gt;" &amp; マスタ!$C$4,
                      OFFSET('その４建物別情報（住宅）_入力シート（非公開）'!$H$11, 0, 0,COUNTA('その４建物別情報（住宅）_入力シート（非公開）'!$C:$C)-2, 1), "区分3")</f>
        <v>0</v>
      </c>
      <c r="V9" s="78" t="s">
        <v>263</v>
      </c>
      <c r="W9" s="81" t="s">
        <v>269</v>
      </c>
      <c r="X9" s="80">
        <f ca="1">COUNTIFS(OFFSET('その４建物別情報（非住宅）_入力シート（非公開）'!$I$11, 0, 0, COUNTA('その４建物別情報（住宅）_入力シート（非公開）'!$C:$C)-2, 1), "区分3")</f>
        <v>0</v>
      </c>
      <c r="Y9" s="78" t="s">
        <v>263</v>
      </c>
      <c r="Z9" s="81" t="s">
        <v>274</v>
      </c>
      <c r="AA9" s="80" cm="1">
        <f t="array" ref="AA9">SUMPRODUCT(--(('その４建物別情報（非住宅）_入力シート（非公開）'!$I$11:$I$2020 = "区分3")
                                  *('その４建物別情報（非住宅）_入力シート（非公開）'!$BD$11:$BD$2020 &lt;&gt; "")))</f>
        <v>0</v>
      </c>
      <c r="AB9" s="74" t="s">
        <v>263</v>
      </c>
      <c r="AC9" s="79" t="s">
        <v>266</v>
      </c>
      <c r="AD9" s="80">
        <f ca="1">COUNTIFS(OFFSET('その４建物別情報（住宅）_入力シート（非公開）'!$F$11, 0, 0, COUNTA('その４建物別情報（住宅）_入力シート（非公開）'!$C:$C)-2, 1), "&lt;&gt;" &amp; マスタ!$C$4,
                      OFFSET('その４建物別情報（住宅）_入力シート（非公開）'!$H$11, 0, 0, COUNTA('その４建物別情報（住宅）_入力シート（非公開）'!$C:$C)-2, 1), "区分3",
                      OFFSET('その４建物別情報（住宅）_入力シート（非公開）'!$AA$11, 0, 0, COUNTA('その４建物別情報（住宅）_入力シート（非公開）'!$C:$C)-2, 1), マスタ!$F$3)</f>
        <v>0</v>
      </c>
      <c r="AE9" s="78" t="s">
        <v>263</v>
      </c>
      <c r="AF9" s="81" t="s">
        <v>269</v>
      </c>
      <c r="AG9" s="80">
        <f ca="1">COUNTIFS(OFFSET('その４建物別情報（非住宅）_入力シート（非公開）'!$I$11, 0, 0, COUNTA('その４建物別情報（住宅）_入力シート（非公開）'!$C:$C)-2, 1), "区分3",
                      OFFSET('その４建物別情報（非住宅）_入力シート（非公開）'!$X$11, 0, 0, COUNTA('その４建物別情報（住宅）_入力シート（非公開）'!$C:$C)-2, 1), マスタ!$F$3)</f>
        <v>0</v>
      </c>
      <c r="AH9" s="78" t="s">
        <v>263</v>
      </c>
      <c r="AI9" s="81" t="s">
        <v>274</v>
      </c>
      <c r="AJ9" s="83" cm="1">
        <f t="array" ref="AJ9">SUMPRODUCT(--(('その４建物別情報（非住宅）_入力シート（非公開）'!$I$11:$I$2020 = "区分3")
                                  *('その４建物別情報（非住宅）_入力シート（非公開）'!$BD$11:$BD$2020 &lt;&gt; "")
                                  *('その４建物別情報（非住宅）_入力シート（非公開）'!$X$11:$X$2020 = マスタ!$F$3)))</f>
        <v>0</v>
      </c>
      <c r="AK9" s="74" t="s">
        <v>263</v>
      </c>
    </row>
    <row r="10" spans="2:37" ht="15" customHeight="1">
      <c r="C10" s="29" t="s">
        <v>137</v>
      </c>
      <c r="D10" s="4" t="s">
        <v>136</v>
      </c>
      <c r="E10" s="4" t="s">
        <v>136</v>
      </c>
      <c r="F10" s="4" t="s">
        <v>136</v>
      </c>
      <c r="G10" s="4" t="s">
        <v>136</v>
      </c>
      <c r="H10" s="4" t="s">
        <v>136</v>
      </c>
      <c r="I10" s="4" t="s">
        <v>136</v>
      </c>
      <c r="J10" s="4" t="s">
        <v>136</v>
      </c>
      <c r="K10" s="89">
        <f ca="1">ROUNDDOWN((($G$7+$J$7)*$D$7*2)
                            +(($G$8+$J$8)*$D$8*2)
                            +(($G$9+$J$9)*$D$9*2),0)</f>
        <v>0</v>
      </c>
      <c r="L10" s="89">
        <f ca="1">ROUNDDOWN((($G$7*$D$7*4)+($J$7*$D$7*5))
                            +(($G$8*$D$8*4)+($J$8*$D$8*5))
                            +(($G$9*$D$9*4)+($J$9*$D$9*5)),0)</f>
        <v>0</v>
      </c>
      <c r="M10" s="89">
        <f ca="1">ROUNDDOWN($K$10*0.2,0)</f>
        <v>0</v>
      </c>
    </row>
    <row r="11" spans="2:37">
      <c r="K11" s="11"/>
      <c r="L11" s="11"/>
      <c r="M11" s="11"/>
    </row>
    <row r="12" spans="2:37" ht="15" customHeight="1">
      <c r="C12" s="1" t="s">
        <v>138</v>
      </c>
    </row>
    <row r="13" spans="2:37" ht="15" customHeight="1">
      <c r="C13" s="341" t="s">
        <v>107</v>
      </c>
      <c r="D13" s="340" t="s">
        <v>127</v>
      </c>
      <c r="E13" s="343" t="s">
        <v>128</v>
      </c>
      <c r="F13" s="344"/>
      <c r="G13" s="345"/>
      <c r="H13" s="343" t="s">
        <v>129</v>
      </c>
      <c r="I13" s="344"/>
      <c r="J13" s="345"/>
      <c r="K13" s="340" t="s">
        <v>130</v>
      </c>
      <c r="L13" s="340" t="s">
        <v>131</v>
      </c>
      <c r="M13" s="340" t="s">
        <v>132</v>
      </c>
    </row>
    <row r="14" spans="2:37" ht="60.75" customHeight="1">
      <c r="C14" s="342"/>
      <c r="D14" s="340"/>
      <c r="E14" s="6" t="s">
        <v>133</v>
      </c>
      <c r="F14" s="6" t="s">
        <v>134</v>
      </c>
      <c r="G14" s="6" t="s">
        <v>135</v>
      </c>
      <c r="H14" s="6" t="s">
        <v>133</v>
      </c>
      <c r="I14" s="6" t="s">
        <v>134</v>
      </c>
      <c r="J14" s="6" t="s">
        <v>135</v>
      </c>
      <c r="K14" s="340"/>
      <c r="L14" s="340"/>
      <c r="M14" s="340"/>
    </row>
    <row r="15" spans="2:37" ht="15" customHeight="1">
      <c r="C15" s="4" t="s">
        <v>139</v>
      </c>
      <c r="D15" s="4">
        <v>0.85</v>
      </c>
      <c r="E15" s="88">
        <f ca="1">SUM($E$7:$E$9)</f>
        <v>0</v>
      </c>
      <c r="F15" s="88">
        <f ca="1">SUM($F$7:$F$9)</f>
        <v>0</v>
      </c>
      <c r="G15" s="88">
        <f ca="1">SUM($G$7:$G$9)</f>
        <v>0</v>
      </c>
      <c r="H15" s="88">
        <f ca="1">SUM($H$7:$H$9)</f>
        <v>0</v>
      </c>
      <c r="I15" s="88">
        <f ca="1">SUM($I$7:$I$9)</f>
        <v>0</v>
      </c>
      <c r="J15" s="88">
        <f ca="1">SUM($J$7:$J$9)</f>
        <v>0</v>
      </c>
      <c r="K15" s="89">
        <f ca="1">ROUNDDOWN(($G$15+$J$15) * $D$15 * 2, 0)</f>
        <v>0</v>
      </c>
      <c r="L15" s="89">
        <f ca="1">ROUNDDOWN(($G$15*$D$15*4)
                            +($J$15*$D$15*5), 0)</f>
        <v>0</v>
      </c>
      <c r="M15" s="89">
        <f ca="1">ROUNDDOWN($K$15 * 0.2, 0)</f>
        <v>0</v>
      </c>
    </row>
    <row r="17" spans="3:22">
      <c r="C17" s="1" t="s">
        <v>140</v>
      </c>
    </row>
    <row r="18" spans="3:22" ht="18" customHeight="1">
      <c r="C18" s="232" t="s">
        <v>141</v>
      </c>
      <c r="D18" s="232"/>
      <c r="E18" s="232"/>
      <c r="F18" s="232"/>
      <c r="G18" s="232"/>
      <c r="H18" s="232"/>
      <c r="I18" s="89">
        <f ca="1">MIN($K$10, $K$15)</f>
        <v>0</v>
      </c>
      <c r="J18" s="23"/>
    </row>
    <row r="19" spans="3:22" ht="18" customHeight="1">
      <c r="C19" s="232" t="s">
        <v>142</v>
      </c>
      <c r="D19" s="232"/>
      <c r="E19" s="232"/>
      <c r="F19" s="232"/>
      <c r="G19" s="232"/>
      <c r="H19" s="232"/>
      <c r="I19" s="89">
        <f ca="1">MIN($L$10, $L$15)</f>
        <v>0</v>
      </c>
      <c r="J19" s="23"/>
    </row>
    <row r="20" spans="3:22" ht="9" customHeight="1">
      <c r="C20" s="25"/>
      <c r="D20" s="25"/>
      <c r="E20" s="25"/>
      <c r="F20" s="25"/>
      <c r="G20" s="25"/>
      <c r="H20" s="25"/>
      <c r="I20" s="28"/>
      <c r="J20" s="23"/>
    </row>
    <row r="21" spans="3:22" ht="18" customHeight="1">
      <c r="C21" s="232" t="s">
        <v>143</v>
      </c>
      <c r="D21" s="232"/>
      <c r="E21" s="232"/>
      <c r="F21" s="232"/>
      <c r="G21" s="232"/>
      <c r="H21" s="232"/>
      <c r="I21" s="90">
        <f ca="1">SUM(OFFSET('その４建物別情報（住宅）_入力シート（非公開）'!$AG$11, 0, 0, COUNTA('その４建物別情報（住宅）_入力シート（非公開）'!$C:$C)-2, 3))
    +SUM(OFFSET('その４建物別情報（非住宅）_入力シート（非公開）'!$AD$11, 0, 0, COUNTA('その４建物別情報（住宅）_入力シート（非公開）'!$C:$C)-2, 3))</f>
        <v>0</v>
      </c>
      <c r="J21" s="23"/>
    </row>
    <row r="22" spans="3:22" ht="9.75" customHeight="1">
      <c r="C22" s="25"/>
      <c r="D22" s="25"/>
      <c r="E22" s="25"/>
      <c r="F22" s="25"/>
      <c r="G22" s="25"/>
      <c r="H22" s="25"/>
      <c r="I22" s="28"/>
      <c r="J22" s="23"/>
    </row>
    <row r="23" spans="3:22" ht="18" customHeight="1">
      <c r="C23" s="232" t="s">
        <v>144</v>
      </c>
      <c r="D23" s="232"/>
      <c r="E23" s="232"/>
      <c r="F23" s="232"/>
      <c r="G23" s="232"/>
      <c r="H23" s="232"/>
      <c r="I23" s="90">
        <f ca="1">MAX(0, $I$18 - $I$21)</f>
        <v>0</v>
      </c>
      <c r="J23" s="23"/>
    </row>
    <row r="24" spans="3:22" ht="18" customHeight="1">
      <c r="C24" s="232" t="s">
        <v>145</v>
      </c>
      <c r="D24" s="232"/>
      <c r="E24" s="232"/>
      <c r="F24" s="232"/>
      <c r="G24" s="232"/>
      <c r="H24" s="232"/>
      <c r="I24" s="90">
        <f ca="1">MAX(0, $I$19 - $I$21)</f>
        <v>0</v>
      </c>
      <c r="J24" s="23"/>
    </row>
    <row r="25" spans="3:22" ht="9" customHeight="1">
      <c r="C25" s="25"/>
      <c r="D25" s="25"/>
      <c r="E25" s="25"/>
      <c r="F25" s="25"/>
      <c r="G25" s="25"/>
      <c r="H25" s="25"/>
      <c r="I25" s="28"/>
      <c r="J25" s="23"/>
    </row>
    <row r="26" spans="3:22" ht="18" customHeight="1">
      <c r="C26" s="232" t="s">
        <v>146</v>
      </c>
      <c r="D26" s="232"/>
      <c r="E26" s="232"/>
      <c r="F26" s="232"/>
      <c r="G26" s="232"/>
      <c r="H26" s="232"/>
      <c r="I26" s="90">
        <f ca="1">MIN($U$26, IF($K$10 &lt;= $K$15, $M$10, $M$15))</f>
        <v>0</v>
      </c>
      <c r="J26" s="23"/>
      <c r="T26" s="79" t="s">
        <v>279</v>
      </c>
      <c r="U26" s="107">
        <f ca="1">ROUNDUP(SUM(OFFSET('その５既存建築物_入力シート（非公開）'!$H$8,0,0,COUNTA('その４建物別情報（住宅）_入力シート（非公開）'!$C:$C)-1,3)),2)</f>
        <v>0</v>
      </c>
      <c r="V26" s="74" t="s">
        <v>280</v>
      </c>
    </row>
    <row r="27" spans="3:22" ht="18" customHeight="1">
      <c r="C27" s="232" t="s">
        <v>147</v>
      </c>
      <c r="D27" s="232"/>
      <c r="E27" s="232"/>
      <c r="F27" s="232"/>
      <c r="G27" s="232"/>
      <c r="H27" s="232"/>
      <c r="I27" s="90">
        <f ca="1">$U$26</f>
        <v>0</v>
      </c>
      <c r="J27" s="23"/>
    </row>
    <row r="28" spans="3:22" ht="9" customHeight="1">
      <c r="C28" s="25"/>
      <c r="D28" s="25"/>
      <c r="E28" s="25"/>
      <c r="F28" s="25"/>
      <c r="G28" s="25"/>
      <c r="H28" s="25"/>
      <c r="I28" s="28"/>
      <c r="J28" s="23"/>
    </row>
    <row r="29" spans="3:22" ht="18" customHeight="1">
      <c r="C29" s="277" t="s">
        <v>148</v>
      </c>
      <c r="D29" s="277"/>
      <c r="E29" s="277"/>
      <c r="F29" s="277"/>
      <c r="G29" s="277"/>
      <c r="H29" s="277"/>
      <c r="I29" s="2" t="str">
        <f ca="1">IF($E$15+$H$15=0, "",
        IF($G$15 + $J$15 = 0, "―",
             IF($I$21 + $I$26 &gt;= $I$18,"適合","適合しない")))</f>
        <v/>
      </c>
      <c r="J29" s="23"/>
    </row>
    <row r="30" spans="3:22" ht="18" customHeight="1">
      <c r="C30" s="277" t="s">
        <v>149</v>
      </c>
      <c r="D30" s="277"/>
      <c r="E30" s="277"/>
      <c r="F30" s="277"/>
      <c r="G30" s="277"/>
      <c r="H30" s="277"/>
      <c r="I30" s="2" t="str">
        <f ca="1">IF($E$15+$H$15=0, "",
        IF($G$15 + $J$15 = 0, "―",
             IF($I$21 + $I$27 &gt;= $I$19, "適合", "適合しない")))</f>
        <v/>
      </c>
      <c r="J30" s="23"/>
    </row>
    <row r="32" spans="3:22" ht="22.5" customHeight="1"/>
  </sheetData>
  <mergeCells count="23">
    <mergeCell ref="C30:H30"/>
    <mergeCell ref="C18:H18"/>
    <mergeCell ref="C19:H19"/>
    <mergeCell ref="C21:H21"/>
    <mergeCell ref="C26:H26"/>
    <mergeCell ref="C27:H27"/>
    <mergeCell ref="C23:H23"/>
    <mergeCell ref="C24:H24"/>
    <mergeCell ref="C29:H29"/>
    <mergeCell ref="K5:K6"/>
    <mergeCell ref="L5:L6"/>
    <mergeCell ref="M5:M6"/>
    <mergeCell ref="C13:C14"/>
    <mergeCell ref="D13:D14"/>
    <mergeCell ref="K13:K14"/>
    <mergeCell ref="L13:L14"/>
    <mergeCell ref="M13:M14"/>
    <mergeCell ref="C5:C6"/>
    <mergeCell ref="D5:D6"/>
    <mergeCell ref="E5:G5"/>
    <mergeCell ref="H5:J5"/>
    <mergeCell ref="E13:G13"/>
    <mergeCell ref="H13:J13"/>
  </mergeCells>
  <phoneticPr fontId="1"/>
  <pageMargins left="0.70866141732283472" right="0.70866141732283472" top="0.74803149606299213" bottom="0.74803149606299213" header="0.31496062992125984" footer="0.31496062992125984"/>
  <pageSetup paperSize="9" scale="78"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0" tint="-0.499984740745262"/>
    <pageSetUpPr fitToPage="1"/>
  </sheetPr>
  <dimension ref="A1:Q64"/>
  <sheetViews>
    <sheetView zoomScale="70" zoomScaleNormal="70" workbookViewId="0">
      <selection activeCell="I2" sqref="I2"/>
    </sheetView>
  </sheetViews>
  <sheetFormatPr defaultColWidth="13.875" defaultRowHeight="15.75"/>
  <cols>
    <col min="1" max="1" width="12.125" style="63" customWidth="1"/>
    <col min="2" max="2" width="13.875" style="48"/>
    <col min="3" max="3" width="17.5" style="48" customWidth="1"/>
    <col min="4" max="9" width="13.875" style="48"/>
    <col min="10" max="11" width="13.875" style="47"/>
    <col min="12" max="16384" width="13.875" style="48"/>
  </cols>
  <sheetData>
    <row r="1" spans="1:17" s="62" customFormat="1">
      <c r="A1" s="61" t="s">
        <v>158</v>
      </c>
      <c r="B1" s="145" t="s">
        <v>159</v>
      </c>
      <c r="C1" s="145" t="s">
        <v>160</v>
      </c>
      <c r="D1" s="146" t="s">
        <v>161</v>
      </c>
      <c r="E1" s="147" t="s">
        <v>261</v>
      </c>
      <c r="F1" s="145" t="s">
        <v>162</v>
      </c>
      <c r="G1" s="145" t="s">
        <v>163</v>
      </c>
      <c r="H1" s="145" t="s">
        <v>405</v>
      </c>
      <c r="I1" s="145" t="s">
        <v>164</v>
      </c>
      <c r="J1" s="145" t="s">
        <v>165</v>
      </c>
      <c r="K1" s="145" t="s">
        <v>166</v>
      </c>
      <c r="L1" s="145" t="s">
        <v>167</v>
      </c>
      <c r="M1" s="145" t="s">
        <v>406</v>
      </c>
      <c r="N1" s="145" t="s">
        <v>414</v>
      </c>
      <c r="O1" s="145" t="s">
        <v>261</v>
      </c>
      <c r="P1" s="145" t="s">
        <v>261</v>
      </c>
      <c r="Q1" s="148"/>
    </row>
    <row r="2" spans="1:17" ht="31.5">
      <c r="A2" s="63" t="s">
        <v>168</v>
      </c>
      <c r="B2" s="149" t="s">
        <v>396</v>
      </c>
      <c r="C2" s="149" t="s">
        <v>169</v>
      </c>
      <c r="D2" s="150" t="s">
        <v>170</v>
      </c>
      <c r="E2" s="151" t="s">
        <v>262</v>
      </c>
      <c r="F2" s="149" t="s">
        <v>171</v>
      </c>
      <c r="G2" s="149" t="s">
        <v>172</v>
      </c>
      <c r="H2" s="149" t="s">
        <v>407</v>
      </c>
      <c r="I2" s="149" t="s">
        <v>173</v>
      </c>
      <c r="J2" s="152" t="s">
        <v>174</v>
      </c>
      <c r="K2" s="152" t="s">
        <v>175</v>
      </c>
      <c r="L2" s="152" t="s">
        <v>176</v>
      </c>
      <c r="M2" s="152" t="s">
        <v>177</v>
      </c>
      <c r="N2" s="152" t="s">
        <v>415</v>
      </c>
      <c r="O2" s="152" t="s">
        <v>275</v>
      </c>
      <c r="P2" s="152" t="s">
        <v>341</v>
      </c>
      <c r="Q2" s="153"/>
    </row>
    <row r="3" spans="1:17">
      <c r="A3" s="63" t="s">
        <v>178</v>
      </c>
      <c r="B3" s="154" t="s">
        <v>307</v>
      </c>
      <c r="C3" s="154" t="s">
        <v>252</v>
      </c>
      <c r="D3" s="155" t="s">
        <v>179</v>
      </c>
      <c r="E3" s="156" t="s">
        <v>258</v>
      </c>
      <c r="F3" s="157" t="s">
        <v>180</v>
      </c>
      <c r="G3" s="157" t="s">
        <v>181</v>
      </c>
      <c r="H3" s="154" t="s">
        <v>408</v>
      </c>
      <c r="I3" s="154" t="s">
        <v>182</v>
      </c>
      <c r="J3" s="157" t="s">
        <v>183</v>
      </c>
      <c r="K3" s="157" t="s">
        <v>184</v>
      </c>
      <c r="L3" s="158" t="s">
        <v>185</v>
      </c>
      <c r="M3" s="154" t="s">
        <v>307</v>
      </c>
      <c r="N3" s="157" t="s">
        <v>416</v>
      </c>
      <c r="O3" s="158" t="s">
        <v>333</v>
      </c>
      <c r="P3" s="157"/>
      <c r="Q3" s="153"/>
    </row>
    <row r="4" spans="1:17" ht="31.5">
      <c r="B4" s="159" t="s">
        <v>294</v>
      </c>
      <c r="C4" s="154" t="s">
        <v>253</v>
      </c>
      <c r="D4" s="155" t="s">
        <v>186</v>
      </c>
      <c r="E4" s="156" t="s">
        <v>258</v>
      </c>
      <c r="F4" s="157" t="s">
        <v>187</v>
      </c>
      <c r="G4" s="157" t="s">
        <v>188</v>
      </c>
      <c r="H4" s="154" t="s">
        <v>409</v>
      </c>
      <c r="I4" s="154" t="s">
        <v>189</v>
      </c>
      <c r="J4" s="157" t="s">
        <v>190</v>
      </c>
      <c r="K4" s="157" t="s">
        <v>191</v>
      </c>
      <c r="L4" s="158" t="s">
        <v>192</v>
      </c>
      <c r="M4" s="168" t="s">
        <v>193</v>
      </c>
      <c r="N4" s="159" t="s">
        <v>472</v>
      </c>
      <c r="O4" s="153"/>
      <c r="P4" s="153"/>
      <c r="Q4" s="153"/>
    </row>
    <row r="5" spans="1:17">
      <c r="B5" s="153"/>
      <c r="C5" s="154" t="s">
        <v>254</v>
      </c>
      <c r="D5" s="155" t="s">
        <v>194</v>
      </c>
      <c r="E5" s="156" t="s">
        <v>259</v>
      </c>
      <c r="F5" s="153"/>
      <c r="G5" s="191"/>
      <c r="H5" s="153"/>
      <c r="I5" s="157" t="s">
        <v>195</v>
      </c>
      <c r="J5" s="157" t="s">
        <v>196</v>
      </c>
      <c r="K5" s="157" t="s">
        <v>197</v>
      </c>
      <c r="L5" s="153"/>
      <c r="M5" s="153"/>
      <c r="N5" s="157" t="s">
        <v>418</v>
      </c>
      <c r="O5" s="153"/>
      <c r="P5" s="153"/>
      <c r="Q5" s="153"/>
    </row>
    <row r="6" spans="1:17">
      <c r="B6" s="153"/>
      <c r="C6" s="154" t="s">
        <v>255</v>
      </c>
      <c r="D6" s="155" t="s">
        <v>198</v>
      </c>
      <c r="E6" s="156" t="s">
        <v>259</v>
      </c>
      <c r="F6" s="153"/>
      <c r="G6" s="153"/>
      <c r="H6" s="153"/>
      <c r="I6" s="159" t="s">
        <v>321</v>
      </c>
      <c r="J6" s="157" t="s">
        <v>199</v>
      </c>
      <c r="K6" s="153"/>
      <c r="L6" s="153"/>
      <c r="M6" s="153"/>
      <c r="N6" s="153"/>
      <c r="O6" s="153"/>
      <c r="P6" s="153"/>
      <c r="Q6" s="153"/>
    </row>
    <row r="7" spans="1:17">
      <c r="B7" s="153"/>
      <c r="C7" s="160" t="s">
        <v>256</v>
      </c>
      <c r="D7" s="155" t="s">
        <v>200</v>
      </c>
      <c r="E7" s="156" t="s">
        <v>259</v>
      </c>
      <c r="F7" s="153"/>
      <c r="G7" s="153"/>
      <c r="H7" s="153"/>
      <c r="I7" s="153"/>
      <c r="J7" s="157" t="s">
        <v>201</v>
      </c>
      <c r="K7" s="153"/>
      <c r="L7" s="153"/>
      <c r="M7" s="153"/>
      <c r="N7" s="153"/>
      <c r="O7" s="153"/>
      <c r="P7" s="153"/>
      <c r="Q7" s="153"/>
    </row>
    <row r="8" spans="1:17">
      <c r="B8" s="153"/>
      <c r="C8" s="161" t="s">
        <v>257</v>
      </c>
      <c r="D8" s="155" t="s">
        <v>202</v>
      </c>
      <c r="E8" s="156" t="s">
        <v>259</v>
      </c>
      <c r="F8" s="153"/>
      <c r="G8" s="153"/>
      <c r="H8" s="153"/>
      <c r="I8" s="153"/>
      <c r="J8" s="157" t="s">
        <v>203</v>
      </c>
      <c r="K8" s="153"/>
      <c r="L8" s="153"/>
      <c r="M8" s="153"/>
      <c r="N8" s="153"/>
      <c r="O8" s="153"/>
      <c r="P8" s="153"/>
      <c r="Q8" s="153"/>
    </row>
    <row r="9" spans="1:17">
      <c r="B9" s="153"/>
      <c r="C9" s="153"/>
      <c r="D9" s="155" t="s">
        <v>204</v>
      </c>
      <c r="E9" s="156" t="s">
        <v>259</v>
      </c>
      <c r="F9" s="153"/>
      <c r="G9" s="153"/>
      <c r="H9" s="153"/>
      <c r="I9" s="153"/>
      <c r="J9" s="157" t="s">
        <v>205</v>
      </c>
      <c r="K9" s="153"/>
      <c r="L9" s="153"/>
      <c r="M9" s="153"/>
      <c r="N9" s="153"/>
      <c r="O9" s="153"/>
      <c r="P9" s="153"/>
      <c r="Q9" s="153"/>
    </row>
    <row r="10" spans="1:17">
      <c r="B10" s="153"/>
      <c r="C10" s="153"/>
      <c r="D10" s="155" t="s">
        <v>206</v>
      </c>
      <c r="E10" s="156" t="s">
        <v>259</v>
      </c>
      <c r="F10" s="153"/>
      <c r="G10" s="153"/>
      <c r="H10" s="153"/>
      <c r="I10" s="153"/>
      <c r="J10" s="162" t="s">
        <v>395</v>
      </c>
      <c r="K10" s="153"/>
      <c r="L10" s="153"/>
      <c r="M10" s="153"/>
      <c r="N10" s="153"/>
      <c r="O10" s="153"/>
      <c r="P10" s="153"/>
      <c r="Q10" s="153"/>
    </row>
    <row r="11" spans="1:17">
      <c r="B11" s="153"/>
      <c r="C11" s="153"/>
      <c r="D11" s="155" t="s">
        <v>207</v>
      </c>
      <c r="E11" s="156" t="s">
        <v>259</v>
      </c>
      <c r="F11" s="153"/>
      <c r="G11" s="153"/>
      <c r="H11" s="153"/>
      <c r="I11" s="153"/>
      <c r="J11" s="162" t="s">
        <v>397</v>
      </c>
      <c r="K11" s="153"/>
      <c r="L11" s="153"/>
      <c r="M11" s="153"/>
      <c r="N11" s="153"/>
      <c r="O11" s="153"/>
      <c r="P11" s="153"/>
      <c r="Q11" s="153"/>
    </row>
    <row r="12" spans="1:17">
      <c r="B12" s="153"/>
      <c r="C12" s="153"/>
      <c r="D12" s="155" t="s">
        <v>208</v>
      </c>
      <c r="E12" s="156" t="s">
        <v>260</v>
      </c>
      <c r="F12" s="153"/>
      <c r="G12" s="153"/>
      <c r="H12" s="153"/>
      <c r="I12" s="153"/>
      <c r="J12" s="153"/>
      <c r="K12" s="153"/>
      <c r="L12" s="153"/>
      <c r="M12" s="153"/>
      <c r="N12" s="153"/>
      <c r="O12" s="153"/>
      <c r="P12" s="153"/>
      <c r="Q12" s="153"/>
    </row>
    <row r="13" spans="1:17">
      <c r="B13" s="153"/>
      <c r="C13" s="153"/>
      <c r="D13" s="155" t="s">
        <v>209</v>
      </c>
      <c r="E13" s="156" t="s">
        <v>259</v>
      </c>
      <c r="F13" s="153"/>
      <c r="G13" s="153"/>
      <c r="H13" s="153"/>
      <c r="I13" s="153"/>
      <c r="J13" s="153"/>
      <c r="K13" s="153"/>
      <c r="L13" s="153"/>
      <c r="M13" s="153"/>
      <c r="N13" s="153"/>
      <c r="O13" s="153"/>
      <c r="P13" s="153"/>
      <c r="Q13" s="153"/>
    </row>
    <row r="14" spans="1:17">
      <c r="B14" s="153"/>
      <c r="C14" s="153"/>
      <c r="D14" s="155" t="s">
        <v>210</v>
      </c>
      <c r="E14" s="156" t="s">
        <v>260</v>
      </c>
      <c r="F14" s="153"/>
      <c r="G14" s="153"/>
      <c r="H14" s="153"/>
      <c r="I14" s="153"/>
      <c r="J14" s="153"/>
      <c r="K14" s="153"/>
      <c r="L14" s="153"/>
      <c r="M14" s="153"/>
      <c r="N14" s="153"/>
      <c r="O14" s="153"/>
      <c r="P14" s="153"/>
      <c r="Q14" s="153"/>
    </row>
    <row r="15" spans="1:17">
      <c r="B15" s="153"/>
      <c r="C15" s="153"/>
      <c r="D15" s="155" t="s">
        <v>211</v>
      </c>
      <c r="E15" s="156" t="s">
        <v>259</v>
      </c>
      <c r="F15" s="153"/>
      <c r="G15" s="153"/>
      <c r="H15" s="153"/>
      <c r="I15" s="153"/>
      <c r="J15" s="153"/>
      <c r="K15" s="153"/>
      <c r="L15" s="153"/>
      <c r="M15" s="153"/>
      <c r="N15" s="153"/>
      <c r="O15" s="153"/>
      <c r="P15" s="153"/>
      <c r="Q15" s="153"/>
    </row>
    <row r="16" spans="1:17">
      <c r="B16" s="153"/>
      <c r="C16" s="153"/>
      <c r="D16" s="155" t="s">
        <v>212</v>
      </c>
      <c r="E16" s="156" t="s">
        <v>259</v>
      </c>
      <c r="F16" s="153"/>
      <c r="G16" s="153"/>
      <c r="H16" s="153"/>
      <c r="I16" s="153"/>
      <c r="J16" s="153"/>
      <c r="K16" s="153"/>
      <c r="L16" s="153"/>
      <c r="M16" s="153"/>
      <c r="N16" s="153"/>
      <c r="O16" s="153"/>
      <c r="P16" s="153"/>
      <c r="Q16" s="153"/>
    </row>
    <row r="17" spans="2:17">
      <c r="B17" s="153"/>
      <c r="C17" s="153"/>
      <c r="D17" s="155" t="s">
        <v>213</v>
      </c>
      <c r="E17" s="156" t="s">
        <v>259</v>
      </c>
      <c r="F17" s="153"/>
      <c r="G17" s="153"/>
      <c r="H17" s="153"/>
      <c r="I17" s="153"/>
      <c r="J17" s="153"/>
      <c r="K17" s="153"/>
      <c r="L17" s="153"/>
      <c r="M17" s="153"/>
      <c r="N17" s="153"/>
      <c r="O17" s="153"/>
      <c r="P17" s="153"/>
      <c r="Q17" s="153"/>
    </row>
    <row r="18" spans="2:17">
      <c r="B18" s="153"/>
      <c r="C18" s="153"/>
      <c r="D18" s="155" t="s">
        <v>214</v>
      </c>
      <c r="E18" s="156" t="s">
        <v>259</v>
      </c>
      <c r="F18" s="153"/>
      <c r="G18" s="153"/>
      <c r="H18" s="153"/>
      <c r="I18" s="153"/>
      <c r="J18" s="153"/>
      <c r="K18" s="153"/>
      <c r="L18" s="153"/>
      <c r="M18" s="153"/>
      <c r="N18" s="153"/>
      <c r="O18" s="153"/>
      <c r="P18" s="153"/>
      <c r="Q18" s="153"/>
    </row>
    <row r="19" spans="2:17">
      <c r="B19" s="153"/>
      <c r="C19" s="153"/>
      <c r="D19" s="155" t="s">
        <v>215</v>
      </c>
      <c r="E19" s="156" t="s">
        <v>259</v>
      </c>
      <c r="F19" s="153"/>
      <c r="G19" s="153"/>
      <c r="H19" s="153"/>
      <c r="I19" s="153"/>
      <c r="J19" s="153"/>
      <c r="K19" s="153"/>
      <c r="L19" s="153"/>
      <c r="M19" s="153"/>
      <c r="N19" s="153"/>
      <c r="O19" s="153"/>
      <c r="P19" s="153"/>
      <c r="Q19" s="153"/>
    </row>
    <row r="20" spans="2:17">
      <c r="B20" s="153"/>
      <c r="C20" s="153"/>
      <c r="D20" s="155" t="s">
        <v>216</v>
      </c>
      <c r="E20" s="156" t="s">
        <v>259</v>
      </c>
      <c r="F20" s="153"/>
      <c r="G20" s="153"/>
      <c r="H20" s="153"/>
      <c r="I20" s="153"/>
      <c r="J20" s="153"/>
      <c r="K20" s="153"/>
      <c r="L20" s="153"/>
      <c r="M20" s="153"/>
      <c r="N20" s="153"/>
      <c r="O20" s="153"/>
      <c r="P20" s="153"/>
      <c r="Q20" s="153"/>
    </row>
    <row r="21" spans="2:17">
      <c r="B21" s="153"/>
      <c r="C21" s="153"/>
      <c r="D21" s="155" t="s">
        <v>217</v>
      </c>
      <c r="E21" s="156" t="s">
        <v>259</v>
      </c>
      <c r="F21" s="153"/>
      <c r="G21" s="153"/>
      <c r="H21" s="153"/>
      <c r="I21" s="153"/>
      <c r="J21" s="153"/>
      <c r="K21" s="153"/>
      <c r="L21" s="153"/>
      <c r="M21" s="153"/>
      <c r="N21" s="153"/>
      <c r="O21" s="153"/>
      <c r="P21" s="153"/>
      <c r="Q21" s="153"/>
    </row>
    <row r="22" spans="2:17">
      <c r="B22" s="153"/>
      <c r="C22" s="153"/>
      <c r="D22" s="155" t="s">
        <v>218</v>
      </c>
      <c r="E22" s="156" t="s">
        <v>259</v>
      </c>
      <c r="F22" s="153"/>
      <c r="G22" s="153"/>
      <c r="H22" s="153"/>
      <c r="I22" s="153"/>
      <c r="J22" s="153"/>
      <c r="K22" s="153"/>
      <c r="L22" s="153"/>
      <c r="M22" s="153"/>
      <c r="N22" s="153"/>
      <c r="O22" s="153"/>
      <c r="P22" s="153"/>
      <c r="Q22" s="153"/>
    </row>
    <row r="23" spans="2:17">
      <c r="B23" s="153"/>
      <c r="C23" s="153"/>
      <c r="D23" s="155" t="s">
        <v>219</v>
      </c>
      <c r="E23" s="156" t="s">
        <v>259</v>
      </c>
      <c r="F23" s="153"/>
      <c r="G23" s="153"/>
      <c r="I23" s="153"/>
      <c r="J23" s="153"/>
      <c r="K23" s="153"/>
      <c r="L23" s="153"/>
      <c r="M23" s="153"/>
      <c r="N23" s="153"/>
      <c r="O23" s="153"/>
      <c r="P23" s="153"/>
      <c r="Q23" s="153"/>
    </row>
    <row r="24" spans="2:17">
      <c r="D24" s="64" t="s">
        <v>220</v>
      </c>
      <c r="E24" s="65" t="s">
        <v>259</v>
      </c>
      <c r="J24" s="48"/>
      <c r="K24" s="48"/>
    </row>
    <row r="25" spans="2:17">
      <c r="D25" s="64" t="s">
        <v>221</v>
      </c>
      <c r="E25" s="65" t="s">
        <v>259</v>
      </c>
      <c r="J25" s="48"/>
      <c r="K25" s="48"/>
    </row>
    <row r="26" spans="2:17">
      <c r="D26" s="64" t="s">
        <v>222</v>
      </c>
      <c r="E26" s="65" t="s">
        <v>260</v>
      </c>
      <c r="J26" s="48"/>
      <c r="K26" s="48"/>
    </row>
    <row r="27" spans="2:17">
      <c r="D27" s="64" t="s">
        <v>223</v>
      </c>
      <c r="E27" s="65" t="s">
        <v>260</v>
      </c>
      <c r="J27" s="48"/>
      <c r="K27" s="48"/>
    </row>
    <row r="28" spans="2:17">
      <c r="D28" s="64" t="s">
        <v>224</v>
      </c>
      <c r="E28" s="65" t="s">
        <v>259</v>
      </c>
      <c r="J28" s="48"/>
      <c r="K28" s="48"/>
    </row>
    <row r="29" spans="2:17">
      <c r="D29" s="64" t="s">
        <v>225</v>
      </c>
      <c r="E29" s="65" t="s">
        <v>260</v>
      </c>
      <c r="J29" s="48"/>
      <c r="K29" s="48"/>
    </row>
    <row r="30" spans="2:17">
      <c r="D30" s="64" t="s">
        <v>226</v>
      </c>
      <c r="E30" s="65" t="s">
        <v>260</v>
      </c>
      <c r="J30" s="48"/>
      <c r="K30" s="48"/>
    </row>
    <row r="31" spans="2:17">
      <c r="D31" s="64" t="s">
        <v>227</v>
      </c>
      <c r="E31" s="65" t="s">
        <v>260</v>
      </c>
      <c r="J31" s="48"/>
      <c r="K31" s="48"/>
    </row>
    <row r="32" spans="2:17">
      <c r="D32" s="64" t="s">
        <v>228</v>
      </c>
      <c r="E32" s="65" t="s">
        <v>260</v>
      </c>
      <c r="J32" s="48"/>
      <c r="K32" s="48"/>
    </row>
    <row r="33" spans="4:11">
      <c r="D33" s="64" t="s">
        <v>229</v>
      </c>
      <c r="E33" s="65" t="s">
        <v>260</v>
      </c>
      <c r="J33" s="48"/>
      <c r="K33" s="48"/>
    </row>
    <row r="34" spans="4:11">
      <c r="D34" s="64" t="s">
        <v>230</v>
      </c>
      <c r="E34" s="65" t="s">
        <v>260</v>
      </c>
      <c r="J34" s="48"/>
      <c r="K34" s="48"/>
    </row>
    <row r="35" spans="4:11">
      <c r="D35" s="64" t="s">
        <v>231</v>
      </c>
      <c r="E35" s="65" t="s">
        <v>260</v>
      </c>
      <c r="J35" s="48"/>
      <c r="K35" s="48"/>
    </row>
    <row r="36" spans="4:11">
      <c r="D36" s="64" t="s">
        <v>232</v>
      </c>
      <c r="E36" s="65" t="s">
        <v>260</v>
      </c>
      <c r="J36" s="48"/>
      <c r="K36" s="48"/>
    </row>
    <row r="37" spans="4:11">
      <c r="D37" s="64" t="s">
        <v>233</v>
      </c>
      <c r="E37" s="65" t="s">
        <v>260</v>
      </c>
      <c r="J37" s="48"/>
      <c r="K37" s="48"/>
    </row>
    <row r="38" spans="4:11">
      <c r="D38" s="64" t="s">
        <v>234</v>
      </c>
      <c r="E38" s="65" t="s">
        <v>260</v>
      </c>
      <c r="J38" s="48"/>
      <c r="K38" s="48"/>
    </row>
    <row r="39" spans="4:11">
      <c r="D39" s="64" t="s">
        <v>235</v>
      </c>
      <c r="E39" s="65" t="s">
        <v>260</v>
      </c>
      <c r="J39" s="48"/>
      <c r="K39" s="48"/>
    </row>
    <row r="40" spans="4:11">
      <c r="D40" s="64" t="s">
        <v>236</v>
      </c>
      <c r="E40" s="65" t="s">
        <v>260</v>
      </c>
      <c r="J40" s="48"/>
      <c r="K40" s="48"/>
    </row>
    <row r="41" spans="4:11">
      <c r="D41" s="64" t="s">
        <v>237</v>
      </c>
      <c r="E41" s="65" t="s">
        <v>260</v>
      </c>
      <c r="J41" s="48"/>
      <c r="K41" s="48"/>
    </row>
    <row r="42" spans="4:11">
      <c r="D42" s="64" t="s">
        <v>238</v>
      </c>
      <c r="E42" s="65" t="s">
        <v>260</v>
      </c>
      <c r="J42" s="48"/>
      <c r="K42" s="48"/>
    </row>
    <row r="43" spans="4:11">
      <c r="D43" s="64" t="s">
        <v>239</v>
      </c>
      <c r="E43" s="65" t="s">
        <v>260</v>
      </c>
      <c r="J43" s="48"/>
      <c r="K43" s="48"/>
    </row>
    <row r="44" spans="4:11">
      <c r="D44" s="64" t="s">
        <v>240</v>
      </c>
      <c r="E44" s="65" t="s">
        <v>260</v>
      </c>
      <c r="J44" s="48"/>
      <c r="K44" s="48"/>
    </row>
    <row r="45" spans="4:11">
      <c r="D45" s="64" t="s">
        <v>241</v>
      </c>
      <c r="E45" s="65" t="s">
        <v>260</v>
      </c>
      <c r="J45" s="48"/>
      <c r="K45" s="48"/>
    </row>
    <row r="46" spans="4:11">
      <c r="D46" s="64" t="s">
        <v>242</v>
      </c>
      <c r="E46" s="65" t="s">
        <v>260</v>
      </c>
      <c r="J46" s="48"/>
      <c r="K46" s="48"/>
    </row>
    <row r="47" spans="4:11">
      <c r="D47" s="64" t="s">
        <v>243</v>
      </c>
      <c r="E47" s="65" t="s">
        <v>260</v>
      </c>
      <c r="J47" s="48"/>
      <c r="K47" s="48"/>
    </row>
    <row r="48" spans="4:11">
      <c r="D48" s="64" t="s">
        <v>244</v>
      </c>
      <c r="E48" s="65" t="s">
        <v>260</v>
      </c>
      <c r="J48" s="48"/>
      <c r="K48" s="48"/>
    </row>
    <row r="49" spans="4:11">
      <c r="D49" s="64" t="s">
        <v>245</v>
      </c>
      <c r="E49" s="65" t="s">
        <v>260</v>
      </c>
      <c r="J49" s="48"/>
      <c r="K49" s="48"/>
    </row>
    <row r="50" spans="4:11">
      <c r="D50" s="64" t="s">
        <v>246</v>
      </c>
      <c r="E50" s="65" t="s">
        <v>260</v>
      </c>
      <c r="J50" s="48"/>
      <c r="K50" s="48"/>
    </row>
    <row r="51" spans="4:11">
      <c r="D51" s="64" t="s">
        <v>247</v>
      </c>
      <c r="E51" s="65" t="s">
        <v>260</v>
      </c>
      <c r="J51" s="48"/>
      <c r="K51" s="48"/>
    </row>
    <row r="52" spans="4:11">
      <c r="D52" s="64" t="s">
        <v>248</v>
      </c>
      <c r="E52" s="65" t="s">
        <v>260</v>
      </c>
      <c r="J52" s="48"/>
      <c r="K52" s="48"/>
    </row>
    <row r="53" spans="4:11">
      <c r="D53" s="64" t="s">
        <v>249</v>
      </c>
      <c r="E53" s="65" t="s">
        <v>260</v>
      </c>
      <c r="J53" s="48"/>
      <c r="K53" s="48"/>
    </row>
    <row r="54" spans="4:11">
      <c r="D54" s="64" t="s">
        <v>250</v>
      </c>
      <c r="E54" s="65" t="s">
        <v>258</v>
      </c>
      <c r="J54" s="48"/>
      <c r="K54" s="48"/>
    </row>
    <row r="55" spans="4:11">
      <c r="D55" s="64" t="s">
        <v>251</v>
      </c>
      <c r="E55" s="65" t="s">
        <v>258</v>
      </c>
      <c r="J55" s="48"/>
      <c r="K55" s="48"/>
    </row>
    <row r="56" spans="4:11">
      <c r="J56" s="48"/>
      <c r="K56" s="48"/>
    </row>
    <row r="57" spans="4:11">
      <c r="J57" s="48"/>
      <c r="K57" s="48"/>
    </row>
    <row r="58" spans="4:11">
      <c r="J58" s="48"/>
      <c r="K58" s="48"/>
    </row>
    <row r="59" spans="4:11">
      <c r="J59" s="48"/>
      <c r="K59" s="48"/>
    </row>
    <row r="60" spans="4:11">
      <c r="J60" s="48"/>
      <c r="K60" s="48"/>
    </row>
    <row r="61" spans="4:11">
      <c r="J61" s="48"/>
      <c r="K61" s="48"/>
    </row>
    <row r="62" spans="4:11">
      <c r="J62" s="48"/>
      <c r="K62" s="48"/>
    </row>
    <row r="63" spans="4:11">
      <c r="J63" s="48"/>
      <c r="K63" s="48"/>
    </row>
    <row r="64" spans="4:11">
      <c r="J64" s="48"/>
      <c r="K64" s="48"/>
    </row>
  </sheetData>
  <phoneticPr fontId="1"/>
  <pageMargins left="0.70866141732283472" right="0.70866141732283472" top="0.74803149606299213" bottom="0.74803149606299213" header="0.31496062992125984" footer="0.31496062992125984"/>
  <pageSetup paperSize="9" scale="40" fitToHeight="0" orientation="portrait" r:id="rId1"/>
  <headerFooter>
    <oddFooter>&amp;C&amp;P /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28</vt:i4>
      </vt:variant>
    </vt:vector>
  </HeadingPairs>
  <TitlesOfParts>
    <vt:vector size="38" baseType="lpstr">
      <vt:lpstr>main</vt:lpstr>
      <vt:lpstr>変更履歴</vt:lpstr>
      <vt:lpstr>その１事業者基本情報_入力シート（一部非公開）</vt:lpstr>
      <vt:lpstr>その２基準適合状況</vt:lpstr>
      <vt:lpstr>その３環境配慮措置</vt:lpstr>
      <vt:lpstr>その４建物別情報（住宅）_入力シート（非公開）</vt:lpstr>
      <vt:lpstr>その４建物別情報（非住宅）_入力シート（非公開）</vt:lpstr>
      <vt:lpstr>その５既存建築物_入力シート（非公開）</vt:lpstr>
      <vt:lpstr>その６再エネ基準量_（非公開）</vt:lpstr>
      <vt:lpstr>マスタ</vt:lpstr>
      <vt:lpstr>main!Print_Area</vt:lpstr>
      <vt:lpstr>'その１事業者基本情報_入力シート（一部非公開）'!Print_Area</vt:lpstr>
      <vt:lpstr>その２基準適合状況!Print_Area</vt:lpstr>
      <vt:lpstr>その３環境配慮措置!Print_Area</vt:lpstr>
      <vt:lpstr>'その４建物別情報（住宅）_入力シート（非公開）'!Print_Area</vt:lpstr>
      <vt:lpstr>'その４建物別情報（非住宅）_入力シート（非公開）'!Print_Area</vt:lpstr>
      <vt:lpstr>'その５既存建築物_入力シート（非公開）'!Print_Area</vt:lpstr>
      <vt:lpstr>'その６再エネ基準量_（非公開）'!Print_Area</vt:lpstr>
      <vt:lpstr>'その１事業者基本情報_入力シート（一部非公開）'!チェック結果</vt:lpstr>
      <vt:lpstr>'その４建物別情報（住宅）_入力シート（非公開）'!チェック結果</vt:lpstr>
      <vt:lpstr>'その４建物別情報（非住宅）_入力シート（非公開）'!チェック結果</vt:lpstr>
      <vt:lpstr>'その５既存建築物_入力シート（非公開）'!チェック結果</vt:lpstr>
      <vt:lpstr>引渡し状況区分</vt:lpstr>
      <vt:lpstr>屋根区分</vt:lpstr>
      <vt:lpstr>該当事項区分</vt:lpstr>
      <vt:lpstr>該当有無区分</vt:lpstr>
      <vt:lpstr>既存建築物_建物区分</vt:lpstr>
      <vt:lpstr>区域区分</vt:lpstr>
      <vt:lpstr>区市町村</vt:lpstr>
      <vt:lpstr>住宅区分</vt:lpstr>
      <vt:lpstr>説明実施区分</vt:lpstr>
      <vt:lpstr>駐車施設の区画の有無</vt:lpstr>
      <vt:lpstr>適合区分_仕様基準用</vt:lpstr>
      <vt:lpstr>適合区分_省エネ用</vt:lpstr>
      <vt:lpstr>入力不可用</vt:lpstr>
      <vt:lpstr>入力不可用2</vt:lpstr>
      <vt:lpstr>main!背景色オプション</vt:lpstr>
      <vt:lpstr>非住宅_用途区分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2025-02-07T08:18:36Z</dcterms:created>
  <dcterms:modified xsi:type="dcterms:W3CDTF">2025-02-27T08:07:22Z</dcterms:modified>
  <cp:category/>
  <cp:contentStatus/>
</cp:coreProperties>
</file>